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KVB.erz.be.ch\DATA-AKVB\UserHomes\mcss\Z_Systems\RedirectedFolders\Desktop\NewWeb\"/>
    </mc:Choice>
  </mc:AlternateContent>
  <bookViews>
    <workbookView xWindow="0" yWindow="255" windowWidth="12000" windowHeight="6360" tabRatio="855"/>
  </bookViews>
  <sheets>
    <sheet name="Valeurs de référence" sheetId="37" r:id="rId1"/>
    <sheet name="Nachfrage2" sheetId="39" state="hidden" r:id="rId2"/>
    <sheet name="Plan d'occupation_1re année" sheetId="34" r:id="rId3"/>
    <sheet name="Plan d'occupation_2e année" sheetId="44" r:id="rId4"/>
    <sheet name="Plan d'occupation_3e année" sheetId="45" r:id="rId5"/>
    <sheet name="Temps de travail et traitements" sheetId="11" r:id="rId6"/>
    <sheet name="Contr. canton et parents  " sheetId="33" r:id="rId7"/>
    <sheet name="Budget" sheetId="12" r:id="rId8"/>
  </sheets>
  <definedNames>
    <definedName name="_xlnm.Print_Area" localSheetId="1">Nachfrage2!$A$1:$BE$37</definedName>
    <definedName name="_xlnm.Print_Area" localSheetId="2">'Plan d''occupation_1re année'!$A$1:$AP$37</definedName>
    <definedName name="Z_48BF2AC7_6055_432C_8BF0_71FB56F968AB_.wvu.Cols" localSheetId="1" hidden="1">Nachfrage2!$I:$L,Nachfrage2!$T:$W,Nachfrage2!$AE:$AH</definedName>
    <definedName name="Z_48BF2AC7_6055_432C_8BF0_71FB56F968AB_.wvu.Cols" localSheetId="2" hidden="1">'Plan d''occupation_1re année'!$AP:$AP</definedName>
    <definedName name="Z_48BF2AC7_6055_432C_8BF0_71FB56F968AB_.wvu.Cols" localSheetId="3" hidden="1">'Plan d''occupation_2e année'!$AP:$AP</definedName>
    <definedName name="Z_48BF2AC7_6055_432C_8BF0_71FB56F968AB_.wvu.Cols" localSheetId="4" hidden="1">'Plan d''occupation_3e année'!$AP:$AP</definedName>
    <definedName name="Z_48BF2AC7_6055_432C_8BF0_71FB56F968AB_.wvu.PrintArea" localSheetId="1" hidden="1">Nachfrage2!$A$1:$BE$37</definedName>
    <definedName name="Z_48BF2AC7_6055_432C_8BF0_71FB56F968AB_.wvu.PrintArea" localSheetId="2" hidden="1">'Plan d''occupation_1re année'!$A$1:$AP$37</definedName>
  </definedNames>
  <calcPr calcId="162913" fullCalcOnLoad="1"/>
  <customWorkbookViews>
    <customWorkbookView name="Richard Jannick, BKD-AKVB-EOF - Affichage personnalisé" guid="{48BF2AC7-6055-432C-8BF0-71FB56F968AB}" mergeInterval="0" personalView="1" maximized="1" xWindow="-9" yWindow="-9" windowWidth="1938" windowHeight="1048" tabRatio="855" activeSheetId="37"/>
  </customWorkbookViews>
</workbook>
</file>

<file path=xl/calcChain.xml><?xml version="1.0" encoding="utf-8"?>
<calcChain xmlns="http://schemas.openxmlformats.org/spreadsheetml/2006/main">
  <c r="C36" i="12" l="1"/>
  <c r="D36" i="12"/>
  <c r="C31" i="12"/>
  <c r="C33" i="12"/>
  <c r="D31" i="12"/>
  <c r="D33" i="12"/>
  <c r="C32" i="12"/>
  <c r="D32" i="12"/>
  <c r="C5" i="12"/>
  <c r="D5" i="12"/>
  <c r="C9" i="33"/>
  <c r="D9" i="33"/>
  <c r="D7" i="11"/>
  <c r="D10" i="11"/>
  <c r="D16" i="11"/>
  <c r="D18" i="11"/>
  <c r="D19" i="11"/>
  <c r="D12" i="12"/>
  <c r="D26" i="11"/>
  <c r="D28" i="11"/>
  <c r="D29" i="11"/>
  <c r="D13" i="12"/>
  <c r="D36" i="11"/>
  <c r="D38" i="11"/>
  <c r="D46" i="11"/>
  <c r="D48" i="11"/>
  <c r="D56" i="11"/>
  <c r="D58" i="11"/>
  <c r="D59" i="11"/>
  <c r="D16" i="12"/>
  <c r="D66" i="11"/>
  <c r="D68" i="11"/>
  <c r="D76" i="11"/>
  <c r="D78" i="11"/>
  <c r="D86" i="11"/>
  <c r="D88" i="11"/>
  <c r="D96" i="11"/>
  <c r="D98" i="11"/>
  <c r="D106" i="11"/>
  <c r="D108" i="11"/>
  <c r="D116" i="11"/>
  <c r="D118" i="11"/>
  <c r="D123" i="11"/>
  <c r="D125" i="11"/>
  <c r="D126" i="11"/>
  <c r="D127" i="11"/>
  <c r="D128" i="11"/>
  <c r="D129" i="11"/>
  <c r="D130" i="11"/>
  <c r="D47" i="12"/>
  <c r="C7" i="11"/>
  <c r="C10" i="11"/>
  <c r="C16" i="11"/>
  <c r="C18" i="11"/>
  <c r="C26" i="11"/>
  <c r="C28" i="11"/>
  <c r="C36" i="11"/>
  <c r="C38" i="11"/>
  <c r="C46" i="11"/>
  <c r="C48" i="11"/>
  <c r="C49" i="11"/>
  <c r="C15" i="12"/>
  <c r="C56" i="11"/>
  <c r="C58" i="11"/>
  <c r="C66" i="11"/>
  <c r="C68" i="11"/>
  <c r="C76" i="11"/>
  <c r="C78" i="11"/>
  <c r="C79" i="11"/>
  <c r="C18" i="12"/>
  <c r="C86" i="11"/>
  <c r="C88" i="11"/>
  <c r="C89" i="11"/>
  <c r="C19" i="12"/>
  <c r="C96" i="11"/>
  <c r="C98" i="11"/>
  <c r="C106" i="11"/>
  <c r="C108" i="11"/>
  <c r="C116" i="11"/>
  <c r="C118" i="11"/>
  <c r="C119" i="11"/>
  <c r="C22" i="12"/>
  <c r="C123" i="11"/>
  <c r="C125" i="11"/>
  <c r="C126" i="11"/>
  <c r="C127" i="11"/>
  <c r="C128" i="11"/>
  <c r="C129" i="11"/>
  <c r="C130" i="11"/>
  <c r="C47" i="12"/>
  <c r="E45" i="37"/>
  <c r="E15" i="37"/>
  <c r="E13" i="37"/>
  <c r="D9" i="11"/>
  <c r="D11" i="11"/>
  <c r="D11" i="12"/>
  <c r="D45" i="37"/>
  <c r="D15" i="37"/>
  <c r="D13" i="37"/>
  <c r="C9" i="11"/>
  <c r="C11" i="11"/>
  <c r="C11" i="12"/>
  <c r="AL21" i="45"/>
  <c r="AL20" i="45"/>
  <c r="AL19" i="45"/>
  <c r="AL18" i="45"/>
  <c r="AL17" i="45"/>
  <c r="AM16" i="45"/>
  <c r="AM15" i="45"/>
  <c r="AM14" i="45"/>
  <c r="AM13" i="45"/>
  <c r="AM12" i="45"/>
  <c r="AM11" i="45"/>
  <c r="AM12" i="44"/>
  <c r="AM13" i="44"/>
  <c r="AM14" i="44"/>
  <c r="AM15" i="44"/>
  <c r="AM16" i="44"/>
  <c r="AL17" i="44"/>
  <c r="AL18" i="44"/>
  <c r="AL19" i="44"/>
  <c r="AL20" i="44"/>
  <c r="AL21" i="44"/>
  <c r="AM11" i="44"/>
  <c r="AL17" i="34"/>
  <c r="AL18" i="34"/>
  <c r="AL19" i="34"/>
  <c r="AL20" i="34"/>
  <c r="AL21" i="34"/>
  <c r="AM12" i="34"/>
  <c r="AM13" i="34"/>
  <c r="AM14" i="34"/>
  <c r="AM15" i="34"/>
  <c r="AM16" i="34"/>
  <c r="AM11" i="34"/>
  <c r="AF29" i="45"/>
  <c r="Y29" i="45"/>
  <c r="R29" i="45"/>
  <c r="K29" i="45"/>
  <c r="D29" i="45"/>
  <c r="AF28" i="45"/>
  <c r="Y28" i="45"/>
  <c r="R28" i="45"/>
  <c r="K28" i="45"/>
  <c r="D28" i="45"/>
  <c r="AJ27" i="45"/>
  <c r="AI27" i="45"/>
  <c r="AH27" i="45"/>
  <c r="AE27" i="45"/>
  <c r="V27" i="45"/>
  <c r="U27" i="45"/>
  <c r="T27" i="45"/>
  <c r="R27" i="45"/>
  <c r="Q27" i="45"/>
  <c r="O27" i="45"/>
  <c r="E27" i="45"/>
  <c r="AJ26" i="45"/>
  <c r="AI26" i="45"/>
  <c r="AH26" i="45"/>
  <c r="AG26" i="45"/>
  <c r="AF26" i="45"/>
  <c r="AE26" i="45"/>
  <c r="AC26" i="45"/>
  <c r="AB26" i="45"/>
  <c r="AA26" i="45"/>
  <c r="Z26" i="45"/>
  <c r="Y26" i="45"/>
  <c r="X26" i="45"/>
  <c r="V26" i="45"/>
  <c r="U26" i="45"/>
  <c r="T26" i="45"/>
  <c r="S26" i="45"/>
  <c r="R26" i="45"/>
  <c r="Q26" i="45"/>
  <c r="O26" i="45"/>
  <c r="N26" i="45"/>
  <c r="M26" i="45"/>
  <c r="L26" i="45"/>
  <c r="K26" i="45"/>
  <c r="J26" i="45"/>
  <c r="H26" i="45"/>
  <c r="G26" i="45"/>
  <c r="F26" i="45"/>
  <c r="E26" i="45"/>
  <c r="D26" i="45"/>
  <c r="C26" i="45"/>
  <c r="F6" i="45"/>
  <c r="D6" i="45"/>
  <c r="D27" i="45"/>
  <c r="C6" i="45"/>
  <c r="C27" i="45"/>
  <c r="AJ5" i="45"/>
  <c r="AI5" i="45"/>
  <c r="AH5" i="45"/>
  <c r="AG5" i="45"/>
  <c r="AF5" i="45"/>
  <c r="AF6" i="45"/>
  <c r="AE5" i="45"/>
  <c r="AC5" i="45"/>
  <c r="AB5" i="45"/>
  <c r="AA5" i="45"/>
  <c r="Z5" i="45"/>
  <c r="Y5" i="45"/>
  <c r="X5" i="45"/>
  <c r="O5" i="45"/>
  <c r="V5" i="45"/>
  <c r="N5" i="45"/>
  <c r="U5" i="45"/>
  <c r="M5" i="45"/>
  <c r="L5" i="45"/>
  <c r="L6" i="45"/>
  <c r="K5" i="45"/>
  <c r="J5" i="45"/>
  <c r="J6" i="45"/>
  <c r="AF4" i="45"/>
  <c r="AE4" i="45"/>
  <c r="AE6" i="45"/>
  <c r="Y4" i="45"/>
  <c r="X4" i="45"/>
  <c r="K4" i="45"/>
  <c r="J4" i="45"/>
  <c r="Q4" i="45"/>
  <c r="H4" i="45"/>
  <c r="G4" i="45"/>
  <c r="AI4" i="45"/>
  <c r="F4" i="45"/>
  <c r="M4" i="45"/>
  <c r="M6" i="45"/>
  <c r="M27" i="45"/>
  <c r="AH4" i="45"/>
  <c r="E4" i="45"/>
  <c r="E6" i="45"/>
  <c r="AF29" i="44"/>
  <c r="Y29" i="44"/>
  <c r="R29" i="44"/>
  <c r="K29" i="44"/>
  <c r="D29" i="44"/>
  <c r="AF28" i="44"/>
  <c r="Y28" i="44"/>
  <c r="R28" i="44"/>
  <c r="K28" i="44"/>
  <c r="D28" i="44"/>
  <c r="AJ27" i="44"/>
  <c r="AI27" i="44"/>
  <c r="AH27" i="44"/>
  <c r="AE27" i="44"/>
  <c r="V27" i="44"/>
  <c r="U27" i="44"/>
  <c r="T27" i="44"/>
  <c r="R27" i="44"/>
  <c r="Q27" i="44"/>
  <c r="O27" i="44"/>
  <c r="E27" i="44"/>
  <c r="AJ26" i="44"/>
  <c r="AI26" i="44"/>
  <c r="AH26" i="44"/>
  <c r="AG26" i="44"/>
  <c r="AF26" i="44"/>
  <c r="AE26" i="44"/>
  <c r="AC26" i="44"/>
  <c r="AB26" i="44"/>
  <c r="AA26" i="44"/>
  <c r="Z26" i="44"/>
  <c r="Y26" i="44"/>
  <c r="X26" i="44"/>
  <c r="V26" i="44"/>
  <c r="U26" i="44"/>
  <c r="T26" i="44"/>
  <c r="S26" i="44"/>
  <c r="R26" i="44"/>
  <c r="Q26" i="44"/>
  <c r="O26" i="44"/>
  <c r="N26" i="44"/>
  <c r="M26" i="44"/>
  <c r="L26" i="44"/>
  <c r="K26" i="44"/>
  <c r="J26" i="44"/>
  <c r="H26" i="44"/>
  <c r="G26" i="44"/>
  <c r="F26" i="44"/>
  <c r="E26" i="44"/>
  <c r="D26" i="44"/>
  <c r="C26" i="44"/>
  <c r="Y6" i="44"/>
  <c r="Y27" i="44"/>
  <c r="D6" i="44"/>
  <c r="D27" i="44"/>
  <c r="C6" i="44"/>
  <c r="I19" i="44"/>
  <c r="AJ5" i="44"/>
  <c r="AJ6" i="44"/>
  <c r="AI5" i="44"/>
  <c r="AH5" i="44"/>
  <c r="AG5" i="44"/>
  <c r="AG6" i="44"/>
  <c r="AF5" i="44"/>
  <c r="AF6" i="44"/>
  <c r="AE5" i="44"/>
  <c r="AC5" i="44"/>
  <c r="AB5" i="44"/>
  <c r="AB6" i="44"/>
  <c r="AB27" i="44"/>
  <c r="AA5" i="44"/>
  <c r="Z5" i="44"/>
  <c r="Y5" i="44"/>
  <c r="X5" i="44"/>
  <c r="X6" i="44"/>
  <c r="U5" i="44"/>
  <c r="O5" i="44"/>
  <c r="V5" i="44"/>
  <c r="N5" i="44"/>
  <c r="M5" i="44"/>
  <c r="T5" i="44"/>
  <c r="T6" i="44"/>
  <c r="L5" i="44"/>
  <c r="K5" i="44"/>
  <c r="J5" i="44"/>
  <c r="AF4" i="44"/>
  <c r="AE4" i="44"/>
  <c r="AE6" i="44"/>
  <c r="Y4" i="44"/>
  <c r="X4" i="44"/>
  <c r="K4" i="44"/>
  <c r="R4" i="44"/>
  <c r="J4" i="44"/>
  <c r="H4" i="44"/>
  <c r="AJ4" i="44"/>
  <c r="G4" i="44"/>
  <c r="G6" i="44"/>
  <c r="F4" i="44"/>
  <c r="F6" i="44"/>
  <c r="F27" i="44"/>
  <c r="E4" i="44"/>
  <c r="E6" i="44"/>
  <c r="A1" i="12"/>
  <c r="B118" i="11"/>
  <c r="B108" i="11"/>
  <c r="B109" i="11"/>
  <c r="B21" i="12"/>
  <c r="B98" i="11"/>
  <c r="B88" i="11"/>
  <c r="B78" i="11"/>
  <c r="B68" i="11"/>
  <c r="B69" i="11"/>
  <c r="B17" i="12"/>
  <c r="B58" i="11"/>
  <c r="B48" i="11"/>
  <c r="B116" i="11"/>
  <c r="B106" i="11"/>
  <c r="B96" i="11"/>
  <c r="B86" i="11"/>
  <c r="B76" i="11"/>
  <c r="B66" i="11"/>
  <c r="B56" i="11"/>
  <c r="B123" i="11"/>
  <c r="B125" i="11"/>
  <c r="B126" i="11"/>
  <c r="B127" i="11"/>
  <c r="B129" i="11"/>
  <c r="C26" i="34"/>
  <c r="D26" i="34"/>
  <c r="E26" i="34"/>
  <c r="F26" i="34"/>
  <c r="G26" i="34"/>
  <c r="H26" i="34"/>
  <c r="J26" i="34"/>
  <c r="K26" i="34"/>
  <c r="L26" i="34"/>
  <c r="M26" i="34"/>
  <c r="N26" i="34"/>
  <c r="O26" i="34"/>
  <c r="Q26" i="34"/>
  <c r="R26" i="34"/>
  <c r="S26" i="34"/>
  <c r="T26" i="34"/>
  <c r="U26" i="34"/>
  <c r="V26" i="34"/>
  <c r="X26" i="34"/>
  <c r="Y26" i="34"/>
  <c r="Z26" i="34"/>
  <c r="AA26" i="34"/>
  <c r="AB26" i="34"/>
  <c r="AC26" i="34"/>
  <c r="AE26" i="34"/>
  <c r="AF26" i="34"/>
  <c r="AG26" i="34"/>
  <c r="AH26" i="34"/>
  <c r="AI26" i="34"/>
  <c r="AJ26" i="34"/>
  <c r="E27" i="34"/>
  <c r="O27" i="34"/>
  <c r="Q27" i="34"/>
  <c r="R27" i="34"/>
  <c r="T27" i="34"/>
  <c r="U27" i="34"/>
  <c r="V27" i="34"/>
  <c r="AE27" i="34"/>
  <c r="AH27" i="34"/>
  <c r="AI27" i="34"/>
  <c r="AJ27" i="34"/>
  <c r="AF5" i="34"/>
  <c r="AF6" i="34"/>
  <c r="AG5" i="34"/>
  <c r="AH5" i="34"/>
  <c r="AI5" i="34"/>
  <c r="AJ5" i="34"/>
  <c r="AJ6" i="34"/>
  <c r="AF4" i="34"/>
  <c r="AE5" i="34"/>
  <c r="AE4" i="34"/>
  <c r="AE6" i="34"/>
  <c r="Y5" i="34"/>
  <c r="Y6" i="34"/>
  <c r="Z5" i="34"/>
  <c r="AA5" i="34"/>
  <c r="AB5" i="34"/>
  <c r="AC5" i="34"/>
  <c r="Y4" i="34"/>
  <c r="X5" i="34"/>
  <c r="X6" i="34"/>
  <c r="X4" i="34"/>
  <c r="K5" i="34"/>
  <c r="R5" i="34"/>
  <c r="R6" i="34"/>
  <c r="L5" i="34"/>
  <c r="S5" i="34"/>
  <c r="M5" i="34"/>
  <c r="T5" i="34"/>
  <c r="N5" i="34"/>
  <c r="U5" i="34"/>
  <c r="O5" i="34"/>
  <c r="V5" i="34"/>
  <c r="K4" i="34"/>
  <c r="R4" i="34"/>
  <c r="J5" i="34"/>
  <c r="J4" i="34"/>
  <c r="Q4" i="34"/>
  <c r="Q6" i="34"/>
  <c r="B32" i="12"/>
  <c r="B33" i="12"/>
  <c r="B31" i="12"/>
  <c r="AF29" i="34"/>
  <c r="Y29" i="34"/>
  <c r="R29" i="34"/>
  <c r="K29" i="34"/>
  <c r="AN29" i="34"/>
  <c r="D29" i="34"/>
  <c r="AF28" i="34"/>
  <c r="Y28" i="34"/>
  <c r="R28" i="34"/>
  <c r="K28" i="34"/>
  <c r="AN28" i="34"/>
  <c r="B58" i="12"/>
  <c r="D28" i="34"/>
  <c r="C13" i="37"/>
  <c r="B9" i="11"/>
  <c r="B36" i="12"/>
  <c r="B38" i="11"/>
  <c r="B7" i="11"/>
  <c r="B10" i="11"/>
  <c r="B16" i="11"/>
  <c r="B18" i="11"/>
  <c r="B19" i="11"/>
  <c r="B12" i="12"/>
  <c r="B26" i="11"/>
  <c r="B28" i="11"/>
  <c r="B36" i="11"/>
  <c r="B46" i="11"/>
  <c r="B9" i="33"/>
  <c r="C15" i="37"/>
  <c r="C45" i="37"/>
  <c r="A1" i="39"/>
  <c r="A2" i="39"/>
  <c r="E7" i="39"/>
  <c r="F7" i="39"/>
  <c r="G7" i="39"/>
  <c r="H7" i="39"/>
  <c r="I7" i="39"/>
  <c r="J7" i="39"/>
  <c r="K7" i="39"/>
  <c r="L7" i="39"/>
  <c r="P7" i="39"/>
  <c r="Q7" i="39"/>
  <c r="R7" i="39"/>
  <c r="S7" i="39"/>
  <c r="T7" i="39"/>
  <c r="U7" i="39"/>
  <c r="V7" i="39"/>
  <c r="W7" i="39"/>
  <c r="AA7" i="39"/>
  <c r="AB7" i="39"/>
  <c r="AC7" i="39"/>
  <c r="AD7" i="39"/>
  <c r="AE7" i="39"/>
  <c r="AF7" i="39"/>
  <c r="AG7" i="39"/>
  <c r="AH7" i="39"/>
  <c r="AL7" i="39"/>
  <c r="AM7" i="39"/>
  <c r="AN7" i="39"/>
  <c r="AO7" i="39"/>
  <c r="AP7" i="39"/>
  <c r="AQ7" i="39"/>
  <c r="AR7" i="39"/>
  <c r="AS7" i="39"/>
  <c r="AW7" i="39"/>
  <c r="AX7" i="39"/>
  <c r="AY7" i="39"/>
  <c r="AZ7" i="39"/>
  <c r="BA7" i="39"/>
  <c r="BB7" i="39"/>
  <c r="BC7" i="39"/>
  <c r="BD7" i="39"/>
  <c r="C14" i="39"/>
  <c r="C15" i="39"/>
  <c r="D14" i="39"/>
  <c r="D15" i="39"/>
  <c r="E14" i="39"/>
  <c r="E15" i="39"/>
  <c r="F14" i="39"/>
  <c r="G14" i="39"/>
  <c r="G15" i="39"/>
  <c r="H14" i="39"/>
  <c r="H15" i="39"/>
  <c r="I14" i="39"/>
  <c r="I15" i="39"/>
  <c r="J14" i="39"/>
  <c r="J15" i="39"/>
  <c r="K14" i="39"/>
  <c r="K15" i="39"/>
  <c r="L14" i="39"/>
  <c r="L15" i="39"/>
  <c r="N14" i="39"/>
  <c r="N15" i="39"/>
  <c r="O14" i="39"/>
  <c r="O15" i="39"/>
  <c r="P14" i="39"/>
  <c r="Q14" i="39"/>
  <c r="Q15" i="39"/>
  <c r="R14" i="39"/>
  <c r="R15" i="39"/>
  <c r="S14" i="39"/>
  <c r="T14" i="39"/>
  <c r="T15" i="39"/>
  <c r="U14" i="39"/>
  <c r="U15" i="39"/>
  <c r="V14" i="39"/>
  <c r="V15" i="39"/>
  <c r="W14" i="39"/>
  <c r="W15" i="39"/>
  <c r="Y14" i="39"/>
  <c r="Y15" i="39"/>
  <c r="Z14" i="39"/>
  <c r="Z15" i="39"/>
  <c r="AA14" i="39"/>
  <c r="AA15" i="39"/>
  <c r="AB14" i="39"/>
  <c r="AB15" i="39"/>
  <c r="AC14" i="39"/>
  <c r="AC15" i="39"/>
  <c r="AD14" i="39"/>
  <c r="AD15" i="39"/>
  <c r="AE14" i="39"/>
  <c r="AF14" i="39"/>
  <c r="AF15" i="39"/>
  <c r="AG14" i="39"/>
  <c r="AG15" i="39"/>
  <c r="AH14" i="39"/>
  <c r="AH15" i="39"/>
  <c r="AJ14" i="39"/>
  <c r="AJ15" i="39"/>
  <c r="AK14" i="39"/>
  <c r="AK15" i="39"/>
  <c r="AL14" i="39"/>
  <c r="AL15" i="39"/>
  <c r="AM14" i="39"/>
  <c r="AM15" i="39"/>
  <c r="AN14" i="39"/>
  <c r="AN15" i="39"/>
  <c r="AO14" i="39"/>
  <c r="AO15" i="39"/>
  <c r="AP14" i="39"/>
  <c r="AP15" i="39"/>
  <c r="AQ14" i="39"/>
  <c r="AQ15" i="39"/>
  <c r="AR14" i="39"/>
  <c r="AR15" i="39"/>
  <c r="AS14" i="39"/>
  <c r="AS15" i="39"/>
  <c r="AU14" i="39"/>
  <c r="AU15" i="39"/>
  <c r="AV14" i="39"/>
  <c r="AV15" i="39"/>
  <c r="AW14" i="39"/>
  <c r="AX14" i="39"/>
  <c r="AX15" i="39"/>
  <c r="AY14" i="39"/>
  <c r="AZ14" i="39"/>
  <c r="AZ15" i="39"/>
  <c r="BA14" i="39"/>
  <c r="BA15" i="39"/>
  <c r="BB14" i="39"/>
  <c r="BB15" i="39"/>
  <c r="BC14" i="39"/>
  <c r="BC15" i="39"/>
  <c r="BD14" i="39"/>
  <c r="BD15" i="39"/>
  <c r="F15" i="39"/>
  <c r="P15" i="39"/>
  <c r="S15" i="39"/>
  <c r="AE15" i="39"/>
  <c r="AW15" i="39"/>
  <c r="AY15" i="39"/>
  <c r="C16" i="39"/>
  <c r="C17" i="39"/>
  <c r="D16" i="39"/>
  <c r="D17" i="39"/>
  <c r="E16" i="39"/>
  <c r="E17" i="39"/>
  <c r="F16" i="39"/>
  <c r="G16" i="39"/>
  <c r="G17" i="39"/>
  <c r="H16" i="39"/>
  <c r="H17" i="39"/>
  <c r="I16" i="39"/>
  <c r="I17" i="39"/>
  <c r="J16" i="39"/>
  <c r="J17" i="39"/>
  <c r="K16" i="39"/>
  <c r="K17" i="39"/>
  <c r="L16" i="39"/>
  <c r="L17" i="39"/>
  <c r="N16" i="39"/>
  <c r="N17" i="39"/>
  <c r="O16" i="39"/>
  <c r="O17" i="39"/>
  <c r="P16" i="39"/>
  <c r="P17" i="39"/>
  <c r="Q16" i="39"/>
  <c r="Q17" i="39"/>
  <c r="R16" i="39"/>
  <c r="R17" i="39"/>
  <c r="S16" i="39"/>
  <c r="S17" i="39"/>
  <c r="T16" i="39"/>
  <c r="T17" i="39"/>
  <c r="U16" i="39"/>
  <c r="U17" i="39"/>
  <c r="V16" i="39"/>
  <c r="V17" i="39"/>
  <c r="W16" i="39"/>
  <c r="Y16" i="39"/>
  <c r="Y17" i="39"/>
  <c r="Z16" i="39"/>
  <c r="Z17" i="39"/>
  <c r="AA16" i="39"/>
  <c r="AB16" i="39"/>
  <c r="AB17" i="39"/>
  <c r="AC16" i="39"/>
  <c r="AC17" i="39"/>
  <c r="AD16" i="39"/>
  <c r="AD17" i="39"/>
  <c r="AE16" i="39"/>
  <c r="AE17" i="39"/>
  <c r="AF16" i="39"/>
  <c r="AF17" i="39"/>
  <c r="AG16" i="39"/>
  <c r="AG17" i="39"/>
  <c r="AH16" i="39"/>
  <c r="AH17" i="39"/>
  <c r="AJ16" i="39"/>
  <c r="AJ17" i="39"/>
  <c r="AK16" i="39"/>
  <c r="AK17" i="39"/>
  <c r="AL16" i="39"/>
  <c r="AL17" i="39"/>
  <c r="AM16" i="39"/>
  <c r="AM17" i="39"/>
  <c r="AN16" i="39"/>
  <c r="AN17" i="39"/>
  <c r="AO16" i="39"/>
  <c r="AO17" i="39"/>
  <c r="AP16" i="39"/>
  <c r="AP17" i="39"/>
  <c r="AQ16" i="39"/>
  <c r="AQ17" i="39"/>
  <c r="AR16" i="39"/>
  <c r="AR17" i="39"/>
  <c r="AS16" i="39"/>
  <c r="AS17" i="39"/>
  <c r="AU16" i="39"/>
  <c r="AU17" i="39"/>
  <c r="AV16" i="39"/>
  <c r="AV17" i="39"/>
  <c r="AW16" i="39"/>
  <c r="AW17" i="39"/>
  <c r="AX16" i="39"/>
  <c r="AX17" i="39"/>
  <c r="AY16" i="39"/>
  <c r="AY17" i="39"/>
  <c r="AZ16" i="39"/>
  <c r="AZ17" i="39"/>
  <c r="BA16" i="39"/>
  <c r="BA17" i="39"/>
  <c r="BB16" i="39"/>
  <c r="BC16" i="39"/>
  <c r="BC17" i="39"/>
  <c r="BD16" i="39"/>
  <c r="BD17" i="39"/>
  <c r="F17" i="39"/>
  <c r="W17" i="39"/>
  <c r="AA17" i="39"/>
  <c r="BB17" i="39"/>
  <c r="C18" i="39"/>
  <c r="C19" i="39"/>
  <c r="D18" i="39"/>
  <c r="D19" i="39"/>
  <c r="E18" i="39"/>
  <c r="F18" i="39"/>
  <c r="F19" i="39"/>
  <c r="G18" i="39"/>
  <c r="G19" i="39"/>
  <c r="H18" i="39"/>
  <c r="H19" i="39"/>
  <c r="I18" i="39"/>
  <c r="I19" i="39"/>
  <c r="J18" i="39"/>
  <c r="K18" i="39"/>
  <c r="L18" i="39"/>
  <c r="L19" i="39"/>
  <c r="N18" i="39"/>
  <c r="N19" i="39"/>
  <c r="O18" i="39"/>
  <c r="P18" i="39"/>
  <c r="P19" i="39"/>
  <c r="Q18" i="39"/>
  <c r="Q19" i="39"/>
  <c r="R18" i="39"/>
  <c r="R19" i="39"/>
  <c r="S18" i="39"/>
  <c r="T18" i="39"/>
  <c r="T19" i="39"/>
  <c r="U18" i="39"/>
  <c r="U19" i="39"/>
  <c r="V18" i="39"/>
  <c r="V19" i="39"/>
  <c r="W18" i="39"/>
  <c r="W19" i="39"/>
  <c r="Y18" i="39"/>
  <c r="Y19" i="39"/>
  <c r="Z18" i="39"/>
  <c r="Z19" i="39"/>
  <c r="AA18" i="39"/>
  <c r="AA19" i="39"/>
  <c r="AB18" i="39"/>
  <c r="AC18" i="39"/>
  <c r="AC19" i="39"/>
  <c r="AD18" i="39"/>
  <c r="AD19" i="39"/>
  <c r="AE18" i="39"/>
  <c r="AE19" i="39"/>
  <c r="AF18" i="39"/>
  <c r="AG18" i="39"/>
  <c r="AG19" i="39"/>
  <c r="AH18" i="39"/>
  <c r="AH19" i="39"/>
  <c r="AJ18" i="39"/>
  <c r="AJ19" i="39"/>
  <c r="AK18" i="39"/>
  <c r="AK19" i="39"/>
  <c r="AL18" i="39"/>
  <c r="AL19" i="39"/>
  <c r="AM18" i="39"/>
  <c r="AM19" i="39"/>
  <c r="AN18" i="39"/>
  <c r="AN19" i="39"/>
  <c r="AO18" i="39"/>
  <c r="AP18" i="39"/>
  <c r="AP19" i="39"/>
  <c r="AQ18" i="39"/>
  <c r="AQ19" i="39"/>
  <c r="AR18" i="39"/>
  <c r="AR19" i="39"/>
  <c r="AS18" i="39"/>
  <c r="AU18" i="39"/>
  <c r="AU19" i="39"/>
  <c r="AV18" i="39"/>
  <c r="AV19" i="39"/>
  <c r="AW18" i="39"/>
  <c r="AW19" i="39"/>
  <c r="AX18" i="39"/>
  <c r="AY18" i="39"/>
  <c r="AZ18" i="39"/>
  <c r="AZ19" i="39"/>
  <c r="BA18" i="39"/>
  <c r="BA19" i="39"/>
  <c r="BB18" i="39"/>
  <c r="BB19" i="39"/>
  <c r="BC18" i="39"/>
  <c r="BC19" i="39"/>
  <c r="BD18" i="39"/>
  <c r="BD19" i="39"/>
  <c r="E19" i="39"/>
  <c r="J19" i="39"/>
  <c r="K19" i="39"/>
  <c r="O19" i="39"/>
  <c r="S19" i="39"/>
  <c r="AB19" i="39"/>
  <c r="AF19" i="39"/>
  <c r="AO19" i="39"/>
  <c r="AS19" i="39"/>
  <c r="AX19" i="39"/>
  <c r="AY19" i="39"/>
  <c r="E4" i="34"/>
  <c r="F4" i="34"/>
  <c r="G4" i="34"/>
  <c r="G6" i="34"/>
  <c r="G27" i="34"/>
  <c r="H4" i="34"/>
  <c r="AJ4" i="34"/>
  <c r="C6" i="34"/>
  <c r="C27" i="34"/>
  <c r="D6" i="34"/>
  <c r="A1" i="11"/>
  <c r="A1" i="33"/>
  <c r="B5" i="12"/>
  <c r="E6" i="34"/>
  <c r="K6" i="34"/>
  <c r="Q5" i="34"/>
  <c r="AC4" i="45"/>
  <c r="AC6" i="45"/>
  <c r="AC27" i="45"/>
  <c r="T5" i="45"/>
  <c r="H6" i="45"/>
  <c r="I19" i="45"/>
  <c r="H27" i="45"/>
  <c r="N4" i="45"/>
  <c r="N6" i="45"/>
  <c r="N27" i="45"/>
  <c r="U4" i="45"/>
  <c r="AB4" i="45"/>
  <c r="AB6" i="45"/>
  <c r="AB27" i="45"/>
  <c r="S5" i="45"/>
  <c r="G27" i="44"/>
  <c r="O4" i="44"/>
  <c r="O6" i="44"/>
  <c r="AC4" i="44"/>
  <c r="AC6" i="44"/>
  <c r="AC27" i="44"/>
  <c r="H6" i="44"/>
  <c r="H27" i="44"/>
  <c r="AI4" i="44"/>
  <c r="AI6" i="44"/>
  <c r="N4" i="44"/>
  <c r="U4" i="44"/>
  <c r="AB4" i="44"/>
  <c r="S5" i="44"/>
  <c r="I14" i="44"/>
  <c r="I18" i="44"/>
  <c r="V4" i="44"/>
  <c r="I20" i="44"/>
  <c r="I16" i="44"/>
  <c r="K27" i="34"/>
  <c r="I13" i="44"/>
  <c r="N4" i="34"/>
  <c r="U4" i="34"/>
  <c r="AI4" i="34"/>
  <c r="AB4" i="34"/>
  <c r="AB6" i="34"/>
  <c r="AB27" i="34"/>
  <c r="L6" i="44"/>
  <c r="AH4" i="44"/>
  <c r="AH6" i="44"/>
  <c r="Q4" i="44"/>
  <c r="Z4" i="44"/>
  <c r="Z6" i="44"/>
  <c r="AD21" i="44"/>
  <c r="AG4" i="45"/>
  <c r="AG6" i="45"/>
  <c r="L4" i="45"/>
  <c r="S4" i="45"/>
  <c r="S6" i="45"/>
  <c r="AA4" i="45"/>
  <c r="AA6" i="45"/>
  <c r="AA27" i="45"/>
  <c r="AG4" i="44"/>
  <c r="L4" i="44"/>
  <c r="S4" i="44"/>
  <c r="S6" i="44"/>
  <c r="AA4" i="44"/>
  <c r="AA6" i="44"/>
  <c r="AA27" i="44"/>
  <c r="R5" i="44"/>
  <c r="R6" i="44"/>
  <c r="G6" i="45"/>
  <c r="R5" i="45"/>
  <c r="M4" i="44"/>
  <c r="Z4" i="45"/>
  <c r="Z6" i="45"/>
  <c r="Z27" i="45"/>
  <c r="Q5" i="45"/>
  <c r="Q6" i="45"/>
  <c r="Z27" i="44"/>
  <c r="AD13" i="44"/>
  <c r="AD8" i="44"/>
  <c r="W8" i="44"/>
  <c r="W27" i="44"/>
  <c r="S27" i="44"/>
  <c r="AG27" i="45"/>
  <c r="AK8" i="45"/>
  <c r="AK26" i="45"/>
  <c r="M6" i="44"/>
  <c r="M27" i="44"/>
  <c r="T4" i="44"/>
  <c r="I11" i="45"/>
  <c r="G27" i="45"/>
  <c r="I13" i="45"/>
  <c r="I21" i="45"/>
  <c r="I17" i="45"/>
  <c r="I15" i="45"/>
  <c r="N6" i="34"/>
  <c r="N27" i="34"/>
  <c r="U6" i="34"/>
  <c r="L27" i="44"/>
  <c r="L27" i="45"/>
  <c r="Y27" i="34"/>
  <c r="I18" i="34"/>
  <c r="S27" i="45"/>
  <c r="W8" i="45"/>
  <c r="W27" i="45"/>
  <c r="AG27" i="44"/>
  <c r="AK20" i="44"/>
  <c r="AK17" i="44"/>
  <c r="J6" i="44"/>
  <c r="Q5" i="44"/>
  <c r="Q6" i="44"/>
  <c r="U6" i="44"/>
  <c r="J27" i="45"/>
  <c r="V6" i="44"/>
  <c r="F27" i="45"/>
  <c r="I12" i="45"/>
  <c r="I8" i="45"/>
  <c r="I16" i="45"/>
  <c r="I14" i="45"/>
  <c r="AF27" i="44"/>
  <c r="AK8" i="44"/>
  <c r="AK26" i="44"/>
  <c r="AD16" i="44"/>
  <c r="AK16" i="44"/>
  <c r="AK14" i="44"/>
  <c r="F6" i="34"/>
  <c r="M4" i="34"/>
  <c r="T4" i="34"/>
  <c r="T6" i="34"/>
  <c r="AH4" i="34"/>
  <c r="AH6" i="34"/>
  <c r="B44" i="12"/>
  <c r="V6" i="34"/>
  <c r="X27" i="34"/>
  <c r="AI6" i="34"/>
  <c r="AK21" i="44"/>
  <c r="AK19" i="44"/>
  <c r="AK18" i="44"/>
  <c r="X27" i="44"/>
  <c r="AD17" i="44"/>
  <c r="AD11" i="44"/>
  <c r="AD20" i="44"/>
  <c r="I15" i="44"/>
  <c r="I21" i="44"/>
  <c r="I12" i="44"/>
  <c r="I11" i="44"/>
  <c r="I8" i="44"/>
  <c r="I17" i="44"/>
  <c r="AK16" i="34"/>
  <c r="AD15" i="44"/>
  <c r="AD18" i="44"/>
  <c r="AK11" i="44"/>
  <c r="AN11" i="44"/>
  <c r="C13" i="11"/>
  <c r="C14" i="11"/>
  <c r="C15" i="11"/>
  <c r="C17" i="11"/>
  <c r="C19" i="11"/>
  <c r="C12" i="12"/>
  <c r="AK12" i="44"/>
  <c r="AN12" i="44"/>
  <c r="C21" i="11"/>
  <c r="T4" i="45"/>
  <c r="T6" i="45"/>
  <c r="I18" i="45"/>
  <c r="I20" i="45"/>
  <c r="AK19" i="34"/>
  <c r="AN19" i="34"/>
  <c r="AD19" i="44"/>
  <c r="AD14" i="44"/>
  <c r="AD12" i="44"/>
  <c r="AK13" i="44"/>
  <c r="AK15" i="44"/>
  <c r="AF27" i="34"/>
  <c r="N6" i="44"/>
  <c r="N27" i="44"/>
  <c r="C27" i="44"/>
  <c r="AA4" i="34"/>
  <c r="AA6" i="34"/>
  <c r="AA27" i="34"/>
  <c r="D27" i="34"/>
  <c r="I21" i="34"/>
  <c r="I17" i="34"/>
  <c r="AC4" i="34"/>
  <c r="AC6" i="34"/>
  <c r="AC27" i="34"/>
  <c r="O4" i="34"/>
  <c r="V4" i="34"/>
  <c r="H6" i="34"/>
  <c r="H27" i="34"/>
  <c r="AJ4" i="45"/>
  <c r="AJ6" i="45"/>
  <c r="O4" i="45"/>
  <c r="AF27" i="45"/>
  <c r="AG4" i="34"/>
  <c r="AG6" i="34"/>
  <c r="L4" i="34"/>
  <c r="J6" i="34"/>
  <c r="K6" i="44"/>
  <c r="K27" i="44"/>
  <c r="U6" i="45"/>
  <c r="Z4" i="34"/>
  <c r="Z6" i="34"/>
  <c r="Z27" i="34"/>
  <c r="R4" i="45"/>
  <c r="R6" i="45"/>
  <c r="K6" i="45"/>
  <c r="Y6" i="45"/>
  <c r="Y27" i="45"/>
  <c r="AH6" i="45"/>
  <c r="B128" i="11"/>
  <c r="B130" i="11"/>
  <c r="B47" i="12"/>
  <c r="B49" i="12"/>
  <c r="AN28" i="44"/>
  <c r="C44" i="12"/>
  <c r="X6" i="45"/>
  <c r="AI6" i="45"/>
  <c r="AN28" i="45"/>
  <c r="D44" i="12"/>
  <c r="AK15" i="45"/>
  <c r="AK13" i="45"/>
  <c r="L6" i="34"/>
  <c r="L27" i="34"/>
  <c r="S4" i="34"/>
  <c r="S6" i="34"/>
  <c r="AD19" i="34"/>
  <c r="AD11" i="34"/>
  <c r="W13" i="44"/>
  <c r="W18" i="44"/>
  <c r="W12" i="44"/>
  <c r="W19" i="44"/>
  <c r="W21" i="44"/>
  <c r="W15" i="44"/>
  <c r="W20" i="44"/>
  <c r="W17" i="44"/>
  <c r="W16" i="44"/>
  <c r="AN16" i="44"/>
  <c r="C61" i="11"/>
  <c r="W14" i="44"/>
  <c r="AN14" i="44"/>
  <c r="AL14" i="44"/>
  <c r="W11" i="44"/>
  <c r="AD12" i="34"/>
  <c r="K27" i="45"/>
  <c r="P8" i="45"/>
  <c r="AK8" i="34"/>
  <c r="AK27" i="34"/>
  <c r="AK18" i="34"/>
  <c r="AK13" i="34"/>
  <c r="AG27" i="34"/>
  <c r="I19" i="34"/>
  <c r="I11" i="34"/>
  <c r="AK15" i="34"/>
  <c r="AK24" i="44"/>
  <c r="AK14" i="34"/>
  <c r="AK11" i="34"/>
  <c r="AK12" i="34"/>
  <c r="J27" i="44"/>
  <c r="P14" i="44"/>
  <c r="P24" i="44"/>
  <c r="P18" i="44"/>
  <c r="P11" i="44"/>
  <c r="P17" i="44"/>
  <c r="P19" i="44"/>
  <c r="P15" i="44"/>
  <c r="P13" i="44"/>
  <c r="P12" i="44"/>
  <c r="P8" i="44"/>
  <c r="P20" i="44"/>
  <c r="AN20" i="44"/>
  <c r="C101" i="11"/>
  <c r="P16" i="44"/>
  <c r="P21" i="44"/>
  <c r="AN21" i="44"/>
  <c r="W18" i="45"/>
  <c r="AK21" i="34"/>
  <c r="AN21" i="34"/>
  <c r="AD15" i="34"/>
  <c r="I24" i="44"/>
  <c r="AD21" i="34"/>
  <c r="AD18" i="34"/>
  <c r="I8" i="34"/>
  <c r="F27" i="34"/>
  <c r="I13" i="34"/>
  <c r="I14" i="34"/>
  <c r="I27" i="44"/>
  <c r="I26" i="44"/>
  <c r="AD20" i="34"/>
  <c r="AK21" i="45"/>
  <c r="AN21" i="45"/>
  <c r="AK17" i="45"/>
  <c r="AK19" i="45"/>
  <c r="AK16" i="45"/>
  <c r="AK14" i="45"/>
  <c r="AK11" i="45"/>
  <c r="AK18" i="45"/>
  <c r="AK12" i="45"/>
  <c r="AK24" i="45"/>
  <c r="AK20" i="45"/>
  <c r="I12" i="34"/>
  <c r="P17" i="45"/>
  <c r="I27" i="45"/>
  <c r="I26" i="45"/>
  <c r="O6" i="34"/>
  <c r="P17" i="34"/>
  <c r="I16" i="34"/>
  <c r="AK17" i="34"/>
  <c r="I24" i="45"/>
  <c r="AD13" i="34"/>
  <c r="X27" i="45"/>
  <c r="AD19" i="45"/>
  <c r="AD18" i="45"/>
  <c r="AD14" i="45"/>
  <c r="AD21" i="45"/>
  <c r="AD13" i="45"/>
  <c r="AD20" i="45"/>
  <c r="AD11" i="45"/>
  <c r="AD12" i="45"/>
  <c r="AD16" i="45"/>
  <c r="AD15" i="45"/>
  <c r="AD17" i="45"/>
  <c r="AD8" i="45"/>
  <c r="M6" i="34"/>
  <c r="M27" i="34"/>
  <c r="P21" i="34"/>
  <c r="P8" i="34"/>
  <c r="P27" i="34"/>
  <c r="P14" i="34"/>
  <c r="J27" i="34"/>
  <c r="P15" i="34"/>
  <c r="AN15" i="34"/>
  <c r="P20" i="34"/>
  <c r="V4" i="45"/>
  <c r="V6" i="45"/>
  <c r="W13" i="45"/>
  <c r="O6" i="45"/>
  <c r="P15" i="45"/>
  <c r="I20" i="34"/>
  <c r="AD14" i="34"/>
  <c r="AD16" i="34"/>
  <c r="AK20" i="34"/>
  <c r="AD17" i="34"/>
  <c r="AD8" i="34"/>
  <c r="W12" i="45"/>
  <c r="AK27" i="44"/>
  <c r="I15" i="34"/>
  <c r="P19" i="45"/>
  <c r="P20" i="45"/>
  <c r="W19" i="45"/>
  <c r="AN19" i="45"/>
  <c r="AD26" i="34"/>
  <c r="AD27" i="34"/>
  <c r="P19" i="34"/>
  <c r="S27" i="34"/>
  <c r="W8" i="34"/>
  <c r="W27" i="34"/>
  <c r="W20" i="34"/>
  <c r="AN20" i="34"/>
  <c r="AM20" i="34"/>
  <c r="W11" i="34"/>
  <c r="W14" i="34"/>
  <c r="W21" i="34"/>
  <c r="W13" i="34"/>
  <c r="W16" i="34"/>
  <c r="W18" i="34"/>
  <c r="W19" i="34"/>
  <c r="W17" i="34"/>
  <c r="W15" i="34"/>
  <c r="W12" i="34"/>
  <c r="AD27" i="45"/>
  <c r="AD26" i="45"/>
  <c r="P21" i="45"/>
  <c r="P18" i="45"/>
  <c r="I27" i="34"/>
  <c r="I26" i="34"/>
  <c r="W11" i="45"/>
  <c r="P14" i="45"/>
  <c r="AD24" i="34"/>
  <c r="P13" i="45"/>
  <c r="P12" i="45"/>
  <c r="P24" i="45"/>
  <c r="P18" i="34"/>
  <c r="AN18" i="34"/>
  <c r="P16" i="34"/>
  <c r="W21" i="45"/>
  <c r="W17" i="45"/>
  <c r="AN17" i="45"/>
  <c r="AM17" i="45"/>
  <c r="W15" i="45"/>
  <c r="P13" i="34"/>
  <c r="P11" i="34"/>
  <c r="P24" i="34"/>
  <c r="P12" i="34"/>
  <c r="AN12" i="34"/>
  <c r="AL12" i="34"/>
  <c r="AD24" i="45"/>
  <c r="AN16" i="34"/>
  <c r="B61" i="11"/>
  <c r="P11" i="45"/>
  <c r="W20" i="45"/>
  <c r="W16" i="45"/>
  <c r="AN16" i="45"/>
  <c r="I24" i="34"/>
  <c r="P16" i="45"/>
  <c r="AN13" i="34"/>
  <c r="AL13" i="34"/>
  <c r="W14" i="45"/>
  <c r="AN14" i="45"/>
  <c r="AL14" i="45"/>
  <c r="B21" i="11"/>
  <c r="B23" i="11"/>
  <c r="B101" i="11"/>
  <c r="B104" i="11"/>
  <c r="W24" i="45"/>
  <c r="AN11" i="45"/>
  <c r="D13" i="11"/>
  <c r="D14" i="11"/>
  <c r="D15" i="11"/>
  <c r="AL11" i="45"/>
  <c r="B11" i="11"/>
  <c r="B11" i="12"/>
  <c r="D17" i="11"/>
  <c r="AM21" i="45"/>
  <c r="D111" i="11"/>
  <c r="AN15" i="45"/>
  <c r="AL15" i="45"/>
  <c r="D91" i="11"/>
  <c r="D94" i="11"/>
  <c r="AM19" i="45"/>
  <c r="D61" i="11"/>
  <c r="AL16" i="45"/>
  <c r="AN18" i="45"/>
  <c r="D81" i="11"/>
  <c r="AN20" i="45"/>
  <c r="AM20" i="45"/>
  <c r="AN13" i="45"/>
  <c r="D101" i="11"/>
  <c r="AL13" i="45"/>
  <c r="D31" i="11"/>
  <c r="D71" i="11"/>
  <c r="D41" i="11"/>
  <c r="AN12" i="45"/>
  <c r="D51" i="11"/>
  <c r="D93" i="11"/>
  <c r="D95" i="11"/>
  <c r="D97" i="11"/>
  <c r="D99" i="11"/>
  <c r="D20" i="12"/>
  <c r="W26" i="45"/>
  <c r="AN29" i="45"/>
  <c r="D45" i="12"/>
  <c r="AK27" i="45"/>
  <c r="AN8" i="45"/>
  <c r="P27" i="45"/>
  <c r="AN27" i="45"/>
  <c r="D8" i="33"/>
  <c r="D10" i="33"/>
  <c r="P26" i="45"/>
  <c r="D58" i="12"/>
  <c r="AD27" i="44"/>
  <c r="AD24" i="44"/>
  <c r="AN15" i="44"/>
  <c r="AN18" i="44"/>
  <c r="C81" i="11"/>
  <c r="W24" i="44"/>
  <c r="AN19" i="44"/>
  <c r="C91" i="11"/>
  <c r="C94" i="11"/>
  <c r="AN29" i="44"/>
  <c r="C45" i="12"/>
  <c r="AN17" i="44"/>
  <c r="C71" i="11"/>
  <c r="AN13" i="44"/>
  <c r="C31" i="11"/>
  <c r="AD26" i="44"/>
  <c r="W26" i="44"/>
  <c r="AN8" i="44"/>
  <c r="C58" i="12"/>
  <c r="P27" i="44"/>
  <c r="P26" i="44"/>
  <c r="C23" i="11"/>
  <c r="C24" i="11"/>
  <c r="AL13" i="44"/>
  <c r="C111" i="11"/>
  <c r="AM21" i="44"/>
  <c r="AL15" i="44"/>
  <c r="C51" i="11"/>
  <c r="C63" i="11"/>
  <c r="C64" i="11"/>
  <c r="C93" i="11"/>
  <c r="C104" i="11"/>
  <c r="C103" i="11"/>
  <c r="AM17" i="44"/>
  <c r="C41" i="11"/>
  <c r="AL16" i="44"/>
  <c r="AM19" i="44"/>
  <c r="AL11" i="44"/>
  <c r="AL12" i="44"/>
  <c r="AM20" i="44"/>
  <c r="B91" i="11"/>
  <c r="AM19" i="34"/>
  <c r="B111" i="11"/>
  <c r="AM21" i="34"/>
  <c r="B31" i="11"/>
  <c r="B34" i="11"/>
  <c r="AL16" i="34"/>
  <c r="AK24" i="34"/>
  <c r="AN17" i="34"/>
  <c r="AM17" i="34"/>
  <c r="B24" i="11"/>
  <c r="B25" i="11"/>
  <c r="B27" i="11"/>
  <c r="B29" i="11"/>
  <c r="B13" i="12"/>
  <c r="AN14" i="34"/>
  <c r="AK26" i="34"/>
  <c r="W24" i="34"/>
  <c r="AN27" i="34"/>
  <c r="B8" i="33"/>
  <c r="B10" i="33"/>
  <c r="B8" i="12"/>
  <c r="W26" i="34"/>
  <c r="AN8" i="34"/>
  <c r="P26" i="34"/>
  <c r="AL15" i="34"/>
  <c r="B51" i="11"/>
  <c r="B6" i="12"/>
  <c r="B7" i="12"/>
  <c r="B50" i="12"/>
  <c r="B45" i="12"/>
  <c r="B63" i="11"/>
  <c r="B64" i="11"/>
  <c r="AL14" i="34"/>
  <c r="B41" i="11"/>
  <c r="AM18" i="34"/>
  <c r="B81" i="11"/>
  <c r="B103" i="11"/>
  <c r="B105" i="11"/>
  <c r="B107" i="11"/>
  <c r="AN11" i="34"/>
  <c r="AM18" i="45"/>
  <c r="AM24" i="45"/>
  <c r="D113" i="11"/>
  <c r="D114" i="11"/>
  <c r="D64" i="11"/>
  <c r="D63" i="11"/>
  <c r="D65" i="11"/>
  <c r="D67" i="11"/>
  <c r="D69" i="11"/>
  <c r="D17" i="12"/>
  <c r="D34" i="11"/>
  <c r="D33" i="11"/>
  <c r="D6" i="12"/>
  <c r="D7" i="12"/>
  <c r="D50" i="12"/>
  <c r="D53" i="11"/>
  <c r="D54" i="11"/>
  <c r="AL12" i="45"/>
  <c r="AL24" i="45"/>
  <c r="AN24" i="45"/>
  <c r="D21" i="11"/>
  <c r="D104" i="11"/>
  <c r="D103" i="11"/>
  <c r="D43" i="11"/>
  <c r="D44" i="11"/>
  <c r="D74" i="11"/>
  <c r="D73" i="11"/>
  <c r="D83" i="11"/>
  <c r="D84" i="11"/>
  <c r="AN26" i="45"/>
  <c r="D8" i="12"/>
  <c r="C25" i="11"/>
  <c r="C27" i="11"/>
  <c r="C29" i="11"/>
  <c r="C13" i="12"/>
  <c r="AN24" i="44"/>
  <c r="AM18" i="44"/>
  <c r="AN27" i="44"/>
  <c r="C8" i="33"/>
  <c r="C10" i="33"/>
  <c r="C8" i="12"/>
  <c r="C6" i="12"/>
  <c r="C7" i="12"/>
  <c r="C50" i="12"/>
  <c r="AM24" i="44"/>
  <c r="C95" i="11"/>
  <c r="C97" i="11"/>
  <c r="C99" i="11"/>
  <c r="C20" i="12"/>
  <c r="AN26" i="44"/>
  <c r="C43" i="11"/>
  <c r="C44" i="11"/>
  <c r="C74" i="11"/>
  <c r="C73" i="11"/>
  <c r="C65" i="11"/>
  <c r="C67" i="11"/>
  <c r="C69" i="11"/>
  <c r="C17" i="12"/>
  <c r="C83" i="11"/>
  <c r="C84" i="11"/>
  <c r="C105" i="11"/>
  <c r="C107" i="11"/>
  <c r="C109" i="11"/>
  <c r="C21" i="12"/>
  <c r="C54" i="11"/>
  <c r="C53" i="11"/>
  <c r="C114" i="11"/>
  <c r="C113" i="11"/>
  <c r="C34" i="11"/>
  <c r="C33" i="11"/>
  <c r="AL24" i="44"/>
  <c r="AN25" i="44"/>
  <c r="C15" i="33"/>
  <c r="C16" i="33"/>
  <c r="C17" i="33"/>
  <c r="C57" i="12"/>
  <c r="C59" i="12"/>
  <c r="B93" i="11"/>
  <c r="B94" i="11"/>
  <c r="B33" i="11"/>
  <c r="B35" i="11"/>
  <c r="B37" i="11"/>
  <c r="B39" i="11"/>
  <c r="B14" i="12"/>
  <c r="B71" i="11"/>
  <c r="AM24" i="34"/>
  <c r="AN26" i="34"/>
  <c r="B113" i="11"/>
  <c r="B115" i="11"/>
  <c r="B117" i="11"/>
  <c r="B119" i="11"/>
  <c r="B22" i="12"/>
  <c r="B114" i="11"/>
  <c r="B73" i="11"/>
  <c r="B74" i="11"/>
  <c r="B65" i="11"/>
  <c r="B67" i="11"/>
  <c r="AL11" i="34"/>
  <c r="AL24" i="34"/>
  <c r="AN24" i="34"/>
  <c r="B13" i="11"/>
  <c r="B14" i="11"/>
  <c r="B15" i="11"/>
  <c r="B17" i="11"/>
  <c r="B84" i="11"/>
  <c r="B83" i="11"/>
  <c r="B54" i="11"/>
  <c r="B53" i="11"/>
  <c r="B44" i="11"/>
  <c r="B43" i="11"/>
  <c r="B45" i="11"/>
  <c r="B47" i="11"/>
  <c r="B49" i="11"/>
  <c r="B15" i="12"/>
  <c r="D115" i="11"/>
  <c r="D117" i="11"/>
  <c r="D119" i="11"/>
  <c r="D22" i="12"/>
  <c r="D45" i="11"/>
  <c r="D47" i="11"/>
  <c r="D49" i="11"/>
  <c r="D15" i="12"/>
  <c r="D85" i="11"/>
  <c r="D87" i="11"/>
  <c r="D89" i="11"/>
  <c r="D19" i="12"/>
  <c r="D75" i="11"/>
  <c r="D77" i="11"/>
  <c r="D79" i="11"/>
  <c r="D18" i="12"/>
  <c r="D24" i="11"/>
  <c r="D23" i="11"/>
  <c r="AN25" i="45"/>
  <c r="D15" i="33"/>
  <c r="D16" i="33"/>
  <c r="D17" i="33"/>
  <c r="D57" i="12"/>
  <c r="D59" i="12"/>
  <c r="D55" i="11"/>
  <c r="D57" i="11"/>
  <c r="D105" i="11"/>
  <c r="D107" i="11"/>
  <c r="D109" i="11"/>
  <c r="D21" i="12"/>
  <c r="D35" i="11"/>
  <c r="D37" i="11"/>
  <c r="D39" i="11"/>
  <c r="D14" i="12"/>
  <c r="C55" i="11"/>
  <c r="C57" i="11"/>
  <c r="C59" i="11"/>
  <c r="C16" i="12"/>
  <c r="C35" i="11"/>
  <c r="C37" i="11"/>
  <c r="C39" i="11"/>
  <c r="C14" i="12"/>
  <c r="C85" i="11"/>
  <c r="C87" i="11"/>
  <c r="C115" i="11"/>
  <c r="C117" i="11"/>
  <c r="C75" i="11"/>
  <c r="C77" i="11"/>
  <c r="C45" i="11"/>
  <c r="C47" i="11"/>
  <c r="B85" i="11"/>
  <c r="B87" i="11"/>
  <c r="B89" i="11"/>
  <c r="B19" i="12"/>
  <c r="B75" i="11"/>
  <c r="B77" i="11"/>
  <c r="B79" i="11"/>
  <c r="B18" i="12"/>
  <c r="B95" i="11"/>
  <c r="B97" i="11"/>
  <c r="B99" i="11"/>
  <c r="B20" i="12"/>
  <c r="B55" i="11"/>
  <c r="B57" i="11"/>
  <c r="B59" i="11"/>
  <c r="B16" i="12"/>
  <c r="AN25" i="34"/>
  <c r="B15" i="33"/>
  <c r="B16" i="33"/>
  <c r="B17" i="33"/>
  <c r="B57" i="12"/>
  <c r="B59" i="12"/>
  <c r="D25" i="11"/>
  <c r="D27" i="11"/>
  <c r="D48" i="12"/>
  <c r="D51" i="12"/>
  <c r="D49" i="12"/>
  <c r="C49" i="12"/>
  <c r="C51" i="12"/>
  <c r="C48" i="12"/>
  <c r="B48" i="12"/>
  <c r="B51" i="12"/>
  <c r="C24" i="12"/>
  <c r="D24" i="12"/>
  <c r="D27" i="12"/>
  <c r="B24" i="12"/>
  <c r="C27" i="12"/>
  <c r="D25" i="12"/>
  <c r="D26" i="12"/>
  <c r="D28" i="12"/>
  <c r="D37" i="12"/>
  <c r="D38" i="12"/>
  <c r="D40" i="12"/>
  <c r="C26" i="12"/>
  <c r="C25" i="12"/>
  <c r="C28" i="12"/>
  <c r="C37" i="12"/>
  <c r="C38" i="12"/>
  <c r="C40" i="12"/>
  <c r="B28" i="12"/>
  <c r="B37" i="12"/>
  <c r="B38" i="12"/>
  <c r="B40" i="12"/>
  <c r="B53" i="12"/>
  <c r="B62" i="12"/>
  <c r="B25" i="12"/>
  <c r="B27" i="12"/>
  <c r="B26" i="12"/>
  <c r="D65" i="12"/>
  <c r="D53" i="12"/>
  <c r="D62" i="12"/>
  <c r="C65" i="12"/>
  <c r="C53" i="12"/>
  <c r="C62" i="12"/>
  <c r="B65" i="12"/>
</calcChain>
</file>

<file path=xl/sharedStrings.xml><?xml version="1.0" encoding="utf-8"?>
<sst xmlns="http://schemas.openxmlformats.org/spreadsheetml/2006/main" count="459" uniqueCount="220">
  <si>
    <t>Prognostizierte Nachfrage</t>
  </si>
  <si>
    <t>Jahr 5</t>
  </si>
  <si>
    <t>N</t>
  </si>
  <si>
    <t>Q.*)</t>
  </si>
  <si>
    <t>Freitag</t>
  </si>
  <si>
    <t>Übertrag von der Bedarfsabklärung</t>
  </si>
  <si>
    <t>Resultate der Abklärung</t>
  </si>
  <si>
    <t>Anzahl Kinder gem. Umfrage</t>
  </si>
  <si>
    <t>Schätzung des Bedarfs</t>
  </si>
  <si>
    <t>Jahr 6</t>
  </si>
  <si>
    <t>Realisierte Nachfrage in Prozent</t>
  </si>
  <si>
    <t>Jahr 1 Prozent</t>
  </si>
  <si>
    <t>Jahr 1 absolut</t>
  </si>
  <si>
    <t>Jahr 2 absolut</t>
  </si>
  <si>
    <t>Jahr 3 absolut</t>
  </si>
  <si>
    <t>Jahr 2 Prozent</t>
  </si>
  <si>
    <t>Jahr 3 Prozent</t>
  </si>
  <si>
    <t>Jahr 4</t>
  </si>
  <si>
    <t>Beginn Modul</t>
  </si>
  <si>
    <t>Ende Modul</t>
  </si>
  <si>
    <t>Dienstag</t>
  </si>
  <si>
    <t>Mittwoch</t>
  </si>
  <si>
    <t>Donnerstag</t>
  </si>
  <si>
    <t>Total</t>
  </si>
  <si>
    <t>Montag</t>
  </si>
  <si>
    <t>Administration</t>
  </si>
  <si>
    <t>x</t>
  </si>
  <si>
    <t>Budget</t>
  </si>
  <si>
    <t xml:space="preserve">Q N* </t>
  </si>
  <si>
    <t>Valeurs de référence pour l'établissement du budget</t>
  </si>
  <si>
    <t>Offre</t>
  </si>
  <si>
    <r>
      <t>1</t>
    </r>
    <r>
      <rPr>
        <vertAlign val="superscript"/>
        <sz val="10"/>
        <rFont val="Arial"/>
        <family val="2"/>
      </rPr>
      <t>re</t>
    </r>
    <r>
      <rPr>
        <sz val="10"/>
        <rFont val="Arial"/>
        <family val="2"/>
      </rPr>
      <t xml:space="preserve"> année</t>
    </r>
  </si>
  <si>
    <r>
      <t>2</t>
    </r>
    <r>
      <rPr>
        <vertAlign val="superscript"/>
        <sz val="10"/>
        <rFont val="Geneva"/>
      </rPr>
      <t>e</t>
    </r>
    <r>
      <rPr>
        <sz val="10"/>
        <rFont val="Geneva"/>
      </rPr>
      <t xml:space="preserve"> année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</si>
  <si>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année</t>
    </r>
  </si>
  <si>
    <t>Nombre de semaines par an</t>
  </si>
  <si>
    <t>Jours d'ouverture par semaine</t>
  </si>
  <si>
    <t>Temps de travail annuel canton de Berne</t>
  </si>
  <si>
    <t>Heures hebdomadaires direction de l'école</t>
  </si>
  <si>
    <t xml:space="preserve">Temps annuel consacré à séances communes par collaborateur/collaboratrice en heures </t>
  </si>
  <si>
    <r>
      <t xml:space="preserve">Variante "cuisine" </t>
    </r>
    <r>
      <rPr>
        <sz val="10"/>
        <rFont val="Arial"/>
        <family val="2"/>
      </rPr>
      <t>(seulement si les repas sont préparés sur place):</t>
    </r>
  </si>
  <si>
    <t>Contribution moyenne de l'employeur pour les assurances sociales</t>
  </si>
  <si>
    <t>Repas</t>
  </si>
  <si>
    <t>Coût d'un repas de midi</t>
  </si>
  <si>
    <t>Coût d'un petit-déjeuner</t>
  </si>
  <si>
    <t>Variante "cuisine":</t>
  </si>
  <si>
    <t>Participation des parents aux repas de midi</t>
  </si>
  <si>
    <t>Participation des parents aux collations</t>
  </si>
  <si>
    <t>Coûts des locaux</t>
  </si>
  <si>
    <t>Coûts annuels des locaux (p. ex. loyer)</t>
  </si>
  <si>
    <r>
      <t>Coûts divers</t>
    </r>
    <r>
      <rPr>
        <sz val="10"/>
        <rFont val="Arial"/>
        <family val="2"/>
      </rPr>
      <t xml:space="preserve"> (pourcentage des coûts de personnel)</t>
    </r>
  </si>
  <si>
    <t>Total des pourcentages</t>
  </si>
  <si>
    <t>Coût du matériel d'animation (coût total par jour)</t>
  </si>
  <si>
    <t>Coûts de traitements normatifs résultant de la compensation des charges (par enfant et par heure de prise en charge)</t>
  </si>
  <si>
    <t>Modules à niveau d'exigences pédagogiques peu élevé</t>
  </si>
  <si>
    <r>
      <t>Plan d'occupation 1</t>
    </r>
    <r>
      <rPr>
        <b/>
        <vertAlign val="superscript"/>
        <sz val="12"/>
        <rFont val="Arial"/>
        <family val="2"/>
      </rPr>
      <t>re</t>
    </r>
    <r>
      <rPr>
        <b/>
        <sz val="12"/>
        <rFont val="Arial"/>
        <family val="2"/>
      </rPr>
      <t xml:space="preserve"> année</t>
    </r>
  </si>
  <si>
    <t>Lundi</t>
  </si>
  <si>
    <t>Total lundi</t>
  </si>
  <si>
    <t>Mardi</t>
  </si>
  <si>
    <t>Total mardi</t>
  </si>
  <si>
    <t>Mercredi</t>
  </si>
  <si>
    <t>Total mercredi</t>
  </si>
  <si>
    <t>Jeudi</t>
  </si>
  <si>
    <t>Total jeudi</t>
  </si>
  <si>
    <t>Vendredi</t>
  </si>
  <si>
    <t>Total vendredi</t>
  </si>
  <si>
    <t>Semaine</t>
  </si>
  <si>
    <t>Début du module</t>
  </si>
  <si>
    <t>Fin du module</t>
  </si>
  <si>
    <t>Durée</t>
  </si>
  <si>
    <t>Nombre d'enfants inscrits</t>
  </si>
  <si>
    <t>Prestations</t>
  </si>
  <si>
    <t>Heures de prise en charge 
personnel d'encadrement</t>
  </si>
  <si>
    <t>Heures de prise en charge 
effectives</t>
  </si>
  <si>
    <t>Nombre de repas pris par le 
personnel</t>
  </si>
  <si>
    <t>Personnel d'encadrement</t>
  </si>
  <si>
    <t>Personne 1</t>
  </si>
  <si>
    <t>Personne 2</t>
  </si>
  <si>
    <t>Personne 4</t>
  </si>
  <si>
    <t>Personne 5</t>
  </si>
  <si>
    <t>Personne 6</t>
  </si>
  <si>
    <t>Personne 7</t>
  </si>
  <si>
    <t>Personne 8</t>
  </si>
  <si>
    <t>Personne 9</t>
  </si>
  <si>
    <t>Personne 10</t>
  </si>
  <si>
    <t>Le module est exploité</t>
  </si>
  <si>
    <t>*Qualification :</t>
  </si>
  <si>
    <t>F = formé</t>
  </si>
  <si>
    <t>N = pas de formation spécifique</t>
  </si>
  <si>
    <t>Q F*</t>
  </si>
  <si>
    <r>
      <t>1</t>
    </r>
    <r>
      <rPr>
        <b/>
        <vertAlign val="superscript"/>
        <sz val="10"/>
        <rFont val="Arial"/>
        <family val="2"/>
      </rPr>
      <t>re</t>
    </r>
    <r>
      <rPr>
        <b/>
        <sz val="10"/>
        <rFont val="Arial"/>
        <family val="2"/>
      </rPr>
      <t xml:space="preserve"> année</t>
    </r>
  </si>
  <si>
    <r>
      <t>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année</t>
    </r>
  </si>
  <si>
    <r>
      <t>3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année</t>
    </r>
  </si>
  <si>
    <t>Semaines d'ouverture</t>
  </si>
  <si>
    <t>Temps hebdom. de prise en charge (heures)</t>
  </si>
  <si>
    <t>Heures de prise en charge par année</t>
  </si>
  <si>
    <t>Total du temps de travail annuel</t>
  </si>
  <si>
    <t>Temps de travail théorique</t>
  </si>
  <si>
    <t>Séances d'équipe par an</t>
  </si>
  <si>
    <t>Charge de travail du personnel d'encadrement</t>
  </si>
  <si>
    <t>Personne d'encadrement 1 (avec formation)</t>
  </si>
  <si>
    <t>Personne d'encadrement 2 (avec formation)</t>
  </si>
  <si>
    <t>Personne d'encadrement 3 (avec formation)</t>
  </si>
  <si>
    <t>Personne d'encadrement 4 (avec formation)</t>
  </si>
  <si>
    <t>Personne d'encadrement 5 (avec formation)</t>
  </si>
  <si>
    <t>Personne d'encadrement 6 (sans formation)</t>
  </si>
  <si>
    <t>Personne d'encadrement 7 (sans formation)</t>
  </si>
  <si>
    <t>Personne d'encadrement 8 (sans formation)</t>
  </si>
  <si>
    <t>Personne d'encadrement 9 (sans formation)</t>
  </si>
  <si>
    <t>Personne d'encadrement 10 (sans formation)</t>
  </si>
  <si>
    <t>Stagiaire/apprenti-e</t>
  </si>
  <si>
    <t>Temps de travail par repas de midi (heures)</t>
  </si>
  <si>
    <t>Temps de travail annuel</t>
  </si>
  <si>
    <t>Contributions du canton et des parents (un seul montant)</t>
  </si>
  <si>
    <r>
      <t>1</t>
    </r>
    <r>
      <rPr>
        <vertAlign val="superscript"/>
        <sz val="10"/>
        <rFont val="Arial"/>
        <family val="2"/>
      </rPr>
      <t xml:space="preserve">re </t>
    </r>
    <r>
      <rPr>
        <sz val="10"/>
        <rFont val="Arial"/>
        <family val="2"/>
      </rPr>
      <t>année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</si>
  <si>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anée</t>
    </r>
  </si>
  <si>
    <t>Heures de prise en charge par semaine</t>
  </si>
  <si>
    <t>Nombre de semaines</t>
  </si>
  <si>
    <t>Contributions du canton et des parents</t>
  </si>
  <si>
    <t>Part de prise en charge par des personnes avec formation pédagogique</t>
  </si>
  <si>
    <t>Valeurs de référence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</si>
  <si>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année</t>
    </r>
  </si>
  <si>
    <t>Jours d'ouverture par année</t>
  </si>
  <si>
    <t>Nbre de repas de midi pris par les enfants et le 
personnel par année</t>
  </si>
  <si>
    <t>Nbre de repas de midi pris par les enfants et le 
personnel par semaine</t>
  </si>
  <si>
    <t>Heures de prise en charge effectives par année</t>
  </si>
  <si>
    <t>Coûts de personnel</t>
  </si>
  <si>
    <t>Assurances sociales employeur</t>
  </si>
  <si>
    <t>Coûts salariaux engendrés par les absences</t>
  </si>
  <si>
    <t>Formation continue/assurance-qualité</t>
  </si>
  <si>
    <t>Total des coûts de personnel</t>
  </si>
  <si>
    <t>Total des coûts des locaux</t>
  </si>
  <si>
    <t>Coûts divers</t>
  </si>
  <si>
    <t>Total des coûts divers</t>
  </si>
  <si>
    <t>Total des coûts sans repas</t>
  </si>
  <si>
    <t>Repas de midi des élèves</t>
  </si>
  <si>
    <t>Repas de midi des collaborateurs et collaboratrices</t>
  </si>
  <si>
    <t>Total du coût des repas</t>
  </si>
  <si>
    <t>Total des coûts avec repas</t>
  </si>
  <si>
    <r>
      <t>Coûts par heure de prise en charge (sans repas</t>
    </r>
    <r>
      <rPr>
        <sz val="10"/>
        <rFont val="Arial"/>
        <family val="2"/>
      </rPr>
      <t>)</t>
    </r>
  </si>
  <si>
    <t>Assurances sociales employeur pour cuisinier/ière</t>
  </si>
  <si>
    <t>Coûts salariaux engendrés par les absences cuisinier/ière</t>
  </si>
  <si>
    <t>Coûts des achats pour les repas de midi</t>
  </si>
  <si>
    <t>Coûts des achats pour un repas de midi</t>
  </si>
  <si>
    <t>Coûts des achats pour une collation</t>
  </si>
  <si>
    <t xml:space="preserve">Frais supplémentaires pour la formation continue et l'assurance-qualité </t>
  </si>
  <si>
    <t xml:space="preserve">Traitement annuel direction de l'école </t>
  </si>
  <si>
    <t>Heures de travail par repas de midi et par cuisinier/ière</t>
  </si>
  <si>
    <t>Part de prise en charge des coûts des repas du personnel 
d'encadrement</t>
  </si>
  <si>
    <t>Coûts annuels des services de conciergerie et de nettoyage</t>
  </si>
  <si>
    <t>Degré d'occupation et temps de travail</t>
  </si>
  <si>
    <t xml:space="preserve">  correspond à un degré d'occupation de</t>
  </si>
  <si>
    <t>Personne 3</t>
  </si>
  <si>
    <t>Part de prise en charge par personnel avec formation pédagogique</t>
  </si>
  <si>
    <t>Temps de travail et traitements</t>
  </si>
  <si>
    <t>Degré d'occupation</t>
  </si>
  <si>
    <t>Direction de l'EJC</t>
  </si>
  <si>
    <t>Traitement annuel brut de la direction de l'EJC</t>
  </si>
  <si>
    <t>Traitement annuel brut de la direction de l'EJC pour 
le travail de prise en charge</t>
  </si>
  <si>
    <t>Traitement annuel brut personne 2</t>
  </si>
  <si>
    <t>Traitement annuel brut personne 4</t>
  </si>
  <si>
    <t>Traitement annuel brut personne 6</t>
  </si>
  <si>
    <t>Traitement annuel brut personne 7</t>
  </si>
  <si>
    <t>Traitement annuel brut personne 9</t>
  </si>
  <si>
    <t>Traitement annuel brut personne 10</t>
  </si>
  <si>
    <t>Traitement brut stagiaire/apprenti-e</t>
  </si>
  <si>
    <t>Traitement brut cuisinier/ière</t>
  </si>
  <si>
    <t>Coûts de traitements normatifs par heure de prise en charge</t>
  </si>
  <si>
    <t>Traitement brut direction de l'EJC</t>
  </si>
  <si>
    <t>Traitement brut personne d'encadrement 1</t>
  </si>
  <si>
    <t>Traitement brut personne d'encadrement 2</t>
  </si>
  <si>
    <t>Traitement brut personne d'encadrement 3</t>
  </si>
  <si>
    <t>Traitement brut personne d'encadrement 4</t>
  </si>
  <si>
    <t>Traitement brut personne d'encadrement 5</t>
  </si>
  <si>
    <t>Traitement brut personne d'encadrement 6</t>
  </si>
  <si>
    <t>Traitement brut personne d'encadrement 7</t>
  </si>
  <si>
    <t>Traitement brut personne d'encadrement 8</t>
  </si>
  <si>
    <t>Traitement brut personne d'encadrement 9</t>
  </si>
  <si>
    <t>Traitement brut personne d'encadrement 10</t>
  </si>
  <si>
    <t>Total des traitements bruts</t>
  </si>
  <si>
    <t>Coûts annuels services de conciergerie et nettoyage</t>
  </si>
  <si>
    <t>Variante "traiteur" :</t>
  </si>
  <si>
    <t>Variante "cuisine" :</t>
  </si>
  <si>
    <t>RECETTES</t>
  </si>
  <si>
    <t>Total des recettes</t>
  </si>
  <si>
    <t>Différence entre le total des coûts avec repas et les recettes</t>
  </si>
  <si>
    <t>Calcul des frais d'exploitation d'une école à journée continue dans le canton de Berne</t>
  </si>
  <si>
    <t>Jours d'absence estimés (5 jours par collaborateur/collaboratrice en % de la masse salariale)</t>
  </si>
  <si>
    <t xml:space="preserve">Traitement annuel personnel d'encadrement formé avec expérience professionnelle pédagogique ou sociopédagogique </t>
  </si>
  <si>
    <t>Variante "traiteur":</t>
  </si>
  <si>
    <t>Traitement annuel cuisinier/ière</t>
  </si>
  <si>
    <t>Imprévus</t>
  </si>
  <si>
    <t>Modules à niveau d'exigences pédagogiques normal
élevé</t>
  </si>
  <si>
    <t>Nbre d'enfants/pers. d'enc.</t>
  </si>
  <si>
    <t>F</t>
  </si>
  <si>
    <t>Direction de l'EJC affectée à l'encadrement</t>
  </si>
  <si>
    <t>Temps de travail théorique à 100 %</t>
  </si>
  <si>
    <t>Temps de travail annuel consacré à la prise en charge, à la préparation et au suivi</t>
  </si>
  <si>
    <t>Nombre de repas pris par les enfants</t>
  </si>
  <si>
    <t>Temps  de prise en charge hebdom. (heures)</t>
  </si>
  <si>
    <t>Temps de travail hebdom.  autre que prise en charge (préparation, suivi) en heures par semaine d'école</t>
  </si>
  <si>
    <t>Traitement annuel brut personne 1</t>
  </si>
  <si>
    <t>Traitement annuel brut personne 3</t>
  </si>
  <si>
    <t>Traitement annuel brut personne 5</t>
  </si>
  <si>
    <t>Traitement annuel brut personne 8</t>
  </si>
  <si>
    <t>Cuisinier/ière</t>
  </si>
  <si>
    <t>Traitement brut de la direction de l'EJC affectée à l'encadrement</t>
  </si>
  <si>
    <t>Coûts divers (en % du total des coûts de personnel)</t>
  </si>
  <si>
    <t>Contribution cantonale aux coûts de traitements normatifs (y c. émoluments des parents)</t>
  </si>
  <si>
    <r>
      <t>Plan d'occupation 3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année</t>
    </r>
  </si>
  <si>
    <r>
      <t>Plan d'occupation 2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année</t>
    </r>
  </si>
  <si>
    <t>Matériel/programmes</t>
  </si>
  <si>
    <t>Émoluments des parents pour les repas</t>
  </si>
  <si>
    <t>Traitement annuel collaborateur/trice avec expérience professionnelle mais sans formation pédagogique ou sociopédagogique</t>
  </si>
  <si>
    <t>Prise en charge dispensée par la direction de l'EJC affectée à l'encadrement
responsable de l'encadrement
de la directrice de l'école</t>
  </si>
  <si>
    <t>Temps de prise en charge hebdom. (heures)</t>
  </si>
  <si>
    <t>Commune</t>
  </si>
  <si>
    <t>Traitements (annuels bruts pour un pensum de 100 %)</t>
  </si>
  <si>
    <t>Traitement annuel brut pour un pensum de 100 %</t>
  </si>
  <si>
    <t>Traitement annuel brut pour un  pensum de 100 %</t>
  </si>
  <si>
    <t>Salaire annuel brut pour un pensum de 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</si>
</sst>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92" formatCode="0.0"/>
    <numFmt numFmtId="193" formatCode="#,##0.0"/>
    <numFmt numFmtId="194" formatCode="0.0%"/>
    <numFmt numFmtId="195" formatCode="#,##0_ ;\-#,##0\ "/>
    <numFmt numFmtId="196" formatCode="0.000%"/>
  </numFmts>
  <fonts count="19">
    <font>
      <sz val="9"/>
      <name val="Geneva"/>
    </font>
    <font>
      <sz val="9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Wingdings"/>
      <charset val="2"/>
    </font>
    <font>
      <sz val="10"/>
      <name val="Geneva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Geneva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4">
    <xf numFmtId="0" fontId="0" fillId="0" borderId="0" xfId="0"/>
    <xf numFmtId="0" fontId="5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9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1" fontId="3" fillId="0" borderId="0" xfId="0" applyNumberFormat="1" applyFont="1"/>
    <xf numFmtId="0" fontId="3" fillId="0" borderId="0" xfId="0" applyFont="1" applyAlignment="1">
      <alignment vertical="top"/>
    </xf>
    <xf numFmtId="3" fontId="3" fillId="0" borderId="0" xfId="0" applyNumberFormat="1" applyFont="1" applyBorder="1"/>
    <xf numFmtId="1" fontId="3" fillId="0" borderId="0" xfId="0" applyNumberFormat="1" applyFont="1" applyBorder="1"/>
    <xf numFmtId="0" fontId="4" fillId="0" borderId="1" xfId="0" applyFont="1" applyBorder="1"/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/>
    <xf numFmtId="0" fontId="4" fillId="0" borderId="0" xfId="0" applyFont="1" applyBorder="1" applyAlignment="1"/>
    <xf numFmtId="0" fontId="3" fillId="0" borderId="0" xfId="0" applyNumberFormat="1" applyFont="1" applyFill="1" applyBorder="1"/>
    <xf numFmtId="0" fontId="4" fillId="0" borderId="0" xfId="0" applyNumberFormat="1" applyFont="1" applyFill="1" applyBorder="1"/>
    <xf numFmtId="0" fontId="3" fillId="0" borderId="0" xfId="0" applyFont="1" applyAlignment="1">
      <alignment horizontal="right" vertical="top"/>
    </xf>
    <xf numFmtId="0" fontId="3" fillId="0" borderId="2" xfId="0" applyFont="1" applyBorder="1" applyAlignment="1">
      <alignment vertical="top"/>
    </xf>
    <xf numFmtId="0" fontId="3" fillId="0" borderId="0" xfId="0" applyFont="1" applyAlignment="1">
      <alignment vertical="top" wrapText="1"/>
    </xf>
    <xf numFmtId="196" fontId="3" fillId="0" borderId="0" xfId="0" applyNumberFormat="1" applyFont="1"/>
    <xf numFmtId="0" fontId="3" fillId="0" borderId="0" xfId="0" applyFont="1" applyBorder="1" applyAlignment="1">
      <alignment vertical="top" wrapText="1"/>
    </xf>
    <xf numFmtId="0" fontId="4" fillId="0" borderId="3" xfId="0" applyFont="1" applyFill="1" applyBorder="1" applyAlignment="1">
      <alignment wrapText="1"/>
    </xf>
    <xf numFmtId="1" fontId="4" fillId="0" borderId="0" xfId="0" applyNumberFormat="1" applyFont="1" applyBorder="1"/>
    <xf numFmtId="0" fontId="6" fillId="0" borderId="0" xfId="0" applyFont="1"/>
    <xf numFmtId="0" fontId="4" fillId="0" borderId="3" xfId="0" applyFont="1" applyBorder="1" applyAlignment="1">
      <alignment wrapText="1"/>
    </xf>
    <xf numFmtId="2" fontId="3" fillId="0" borderId="3" xfId="0" applyNumberFormat="1" applyFont="1" applyBorder="1"/>
    <xf numFmtId="0" fontId="4" fillId="0" borderId="0" xfId="0" applyFont="1" applyBorder="1"/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2" fontId="6" fillId="0" borderId="0" xfId="0" applyNumberFormat="1" applyFont="1"/>
    <xf numFmtId="3" fontId="3" fillId="2" borderId="5" xfId="0" applyNumberFormat="1" applyFont="1" applyFill="1" applyBorder="1" applyAlignment="1">
      <alignment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0" fontId="3" fillId="2" borderId="8" xfId="0" applyNumberFormat="1" applyFont="1" applyFill="1" applyBorder="1" applyAlignment="1">
      <alignment vertical="center" textRotation="180"/>
    </xf>
    <xf numFmtId="20" fontId="3" fillId="2" borderId="0" xfId="0" applyNumberFormat="1" applyFont="1" applyFill="1" applyBorder="1" applyAlignment="1">
      <alignment vertical="center" textRotation="180"/>
    </xf>
    <xf numFmtId="20" fontId="3" fillId="2" borderId="8" xfId="0" applyNumberFormat="1" applyFont="1" applyFill="1" applyBorder="1" applyAlignment="1">
      <alignment horizontal="left" vertical="center" textRotation="180"/>
    </xf>
    <xf numFmtId="20" fontId="3" fillId="2" borderId="0" xfId="0" applyNumberFormat="1" applyFont="1" applyFill="1" applyBorder="1" applyAlignment="1">
      <alignment horizontal="left" vertical="center" textRotation="180"/>
    </xf>
    <xf numFmtId="0" fontId="6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9" fontId="6" fillId="0" borderId="0" xfId="0" applyNumberFormat="1" applyFont="1"/>
    <xf numFmtId="0" fontId="6" fillId="2" borderId="0" xfId="0" applyFont="1" applyFill="1"/>
    <xf numFmtId="9" fontId="6" fillId="2" borderId="0" xfId="0" applyNumberFormat="1" applyFont="1" applyFill="1"/>
    <xf numFmtId="9" fontId="6" fillId="0" borderId="0" xfId="0" applyNumberFormat="1" applyFont="1" applyAlignment="1">
      <alignment vertical="center"/>
    </xf>
    <xf numFmtId="9" fontId="6" fillId="0" borderId="0" xfId="0" applyNumberFormat="1" applyFont="1" applyAlignment="1">
      <alignment vertical="center" wrapText="1"/>
    </xf>
    <xf numFmtId="0" fontId="6" fillId="0" borderId="0" xfId="0" applyFont="1" applyAlignment="1">
      <alignment wrapText="1"/>
    </xf>
    <xf numFmtId="192" fontId="6" fillId="0" borderId="0" xfId="0" applyNumberFormat="1" applyFont="1"/>
    <xf numFmtId="0" fontId="0" fillId="0" borderId="0" xfId="0" applyFill="1"/>
    <xf numFmtId="0" fontId="6" fillId="0" borderId="0" xfId="0" applyFont="1" applyFill="1" applyAlignment="1">
      <alignment vertical="center"/>
    </xf>
    <xf numFmtId="0" fontId="3" fillId="0" borderId="0" xfId="0" applyFont="1" applyFill="1"/>
    <xf numFmtId="0" fontId="3" fillId="2" borderId="2" xfId="0" applyFont="1" applyFill="1" applyBorder="1"/>
    <xf numFmtId="3" fontId="3" fillId="2" borderId="9" xfId="0" applyNumberFormat="1" applyFont="1" applyFill="1" applyBorder="1"/>
    <xf numFmtId="192" fontId="3" fillId="2" borderId="5" xfId="0" applyNumberFormat="1" applyFont="1" applyFill="1" applyBorder="1"/>
    <xf numFmtId="1" fontId="3" fillId="2" borderId="5" xfId="0" applyNumberFormat="1" applyFont="1" applyFill="1" applyBorder="1"/>
    <xf numFmtId="1" fontId="3" fillId="2" borderId="10" xfId="0" applyNumberFormat="1" applyFont="1" applyFill="1" applyBorder="1"/>
    <xf numFmtId="3" fontId="3" fillId="2" borderId="5" xfId="0" applyNumberFormat="1" applyFont="1" applyFill="1" applyBorder="1"/>
    <xf numFmtId="192" fontId="3" fillId="2" borderId="10" xfId="0" applyNumberFormat="1" applyFont="1" applyFill="1" applyBorder="1"/>
    <xf numFmtId="194" fontId="3" fillId="2" borderId="5" xfId="0" applyNumberFormat="1" applyFont="1" applyFill="1" applyBorder="1"/>
    <xf numFmtId="195" fontId="3" fillId="2" borderId="2" xfId="0" applyNumberFormat="1" applyFont="1" applyFill="1" applyBorder="1" applyAlignment="1">
      <alignment vertical="center"/>
    </xf>
    <xf numFmtId="195" fontId="3" fillId="2" borderId="1" xfId="0" applyNumberFormat="1" applyFont="1" applyFill="1" applyBorder="1" applyAlignment="1">
      <alignment vertical="center"/>
    </xf>
    <xf numFmtId="1" fontId="3" fillId="2" borderId="2" xfId="0" applyNumberFormat="1" applyFont="1" applyFill="1" applyBorder="1"/>
    <xf numFmtId="9" fontId="3" fillId="2" borderId="2" xfId="0" applyNumberFormat="1" applyFont="1" applyFill="1" applyBorder="1"/>
    <xf numFmtId="2" fontId="3" fillId="2" borderId="5" xfId="0" applyNumberFormat="1" applyFont="1" applyFill="1" applyBorder="1"/>
    <xf numFmtId="0" fontId="3" fillId="2" borderId="5" xfId="0" applyFont="1" applyFill="1" applyBorder="1" applyAlignment="1">
      <alignment wrapText="1"/>
    </xf>
    <xf numFmtId="3" fontId="3" fillId="2" borderId="9" xfId="0" applyNumberFormat="1" applyFont="1" applyFill="1" applyBorder="1" applyAlignment="1">
      <alignment vertical="top"/>
    </xf>
    <xf numFmtId="3" fontId="4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7" xfId="0" applyFont="1" applyBorder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/>
    <xf numFmtId="0" fontId="3" fillId="0" borderId="11" xfId="0" applyFont="1" applyBorder="1" applyAlignment="1">
      <alignment vertical="center"/>
    </xf>
    <xf numFmtId="1" fontId="3" fillId="0" borderId="13" xfId="0" applyNumberFormat="1" applyFont="1" applyBorder="1"/>
    <xf numFmtId="1" fontId="3" fillId="0" borderId="12" xfId="0" applyNumberFormat="1" applyFont="1" applyBorder="1"/>
    <xf numFmtId="1" fontId="3" fillId="0" borderId="7" xfId="0" applyNumberFormat="1" applyFont="1" applyBorder="1"/>
    <xf numFmtId="0" fontId="4" fillId="0" borderId="11" xfId="0" applyFont="1" applyBorder="1" applyAlignment="1">
      <alignment vertical="center"/>
    </xf>
    <xf numFmtId="0" fontId="3" fillId="0" borderId="15" xfId="0" applyFont="1" applyBorder="1" applyAlignment="1" applyProtection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top"/>
    </xf>
    <xf numFmtId="0" fontId="13" fillId="0" borderId="0" xfId="0" applyFont="1"/>
    <xf numFmtId="192" fontId="3" fillId="2" borderId="2" xfId="0" applyNumberFormat="1" applyFont="1" applyFill="1" applyBorder="1"/>
    <xf numFmtId="0" fontId="3" fillId="0" borderId="1" xfId="0" applyFont="1" applyBorder="1"/>
    <xf numFmtId="0" fontId="3" fillId="0" borderId="1" xfId="0" applyNumberFormat="1" applyFont="1" applyFill="1" applyBorder="1"/>
    <xf numFmtId="0" fontId="3" fillId="0" borderId="1" xfId="0" applyFont="1" applyBorder="1" applyAlignment="1">
      <alignment wrapText="1"/>
    </xf>
    <xf numFmtId="0" fontId="4" fillId="0" borderId="4" xfId="0" applyFont="1" applyFill="1" applyBorder="1" applyAlignment="1"/>
    <xf numFmtId="0" fontId="3" fillId="4" borderId="0" xfId="0" applyFont="1" applyFill="1" applyBorder="1" applyAlignment="1">
      <alignment vertical="top" wrapText="1"/>
    </xf>
    <xf numFmtId="0" fontId="12" fillId="0" borderId="0" xfId="0" applyFont="1" applyBorder="1"/>
    <xf numFmtId="0" fontId="0" fillId="0" borderId="16" xfId="0" applyBorder="1" applyAlignment="1"/>
    <xf numFmtId="3" fontId="3" fillId="2" borderId="8" xfId="0" applyNumberFormat="1" applyFont="1" applyFill="1" applyBorder="1" applyAlignment="1">
      <alignment vertical="top"/>
    </xf>
    <xf numFmtId="3" fontId="3" fillId="2" borderId="16" xfId="0" applyNumberFormat="1" applyFont="1" applyFill="1" applyBorder="1" applyAlignment="1">
      <alignment vertical="center"/>
    </xf>
    <xf numFmtId="3" fontId="3" fillId="2" borderId="2" xfId="0" applyNumberFormat="1" applyFont="1" applyFill="1" applyBorder="1"/>
    <xf numFmtId="3" fontId="4" fillId="2" borderId="1" xfId="0" applyNumberFormat="1" applyFont="1" applyFill="1" applyBorder="1" applyAlignment="1"/>
    <xf numFmtId="3" fontId="3" fillId="2" borderId="17" xfId="0" applyNumberFormat="1" applyFont="1" applyFill="1" applyBorder="1" applyAlignment="1">
      <alignment vertical="top"/>
    </xf>
    <xf numFmtId="2" fontId="3" fillId="2" borderId="11" xfId="0" applyNumberFormat="1" applyFont="1" applyFill="1" applyBorder="1"/>
    <xf numFmtId="194" fontId="3" fillId="2" borderId="2" xfId="0" applyNumberFormat="1" applyFont="1" applyFill="1" applyBorder="1"/>
    <xf numFmtId="2" fontId="3" fillId="2" borderId="10" xfId="0" applyNumberFormat="1" applyFont="1" applyFill="1" applyBorder="1"/>
    <xf numFmtId="0" fontId="3" fillId="0" borderId="5" xfId="0" applyFont="1" applyBorder="1" applyAlignment="1">
      <alignment vertical="top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vertical="center"/>
    </xf>
    <xf numFmtId="0" fontId="6" fillId="5" borderId="0" xfId="0" applyFont="1" applyFill="1"/>
    <xf numFmtId="0" fontId="0" fillId="5" borderId="0" xfId="0" applyFill="1"/>
    <xf numFmtId="0" fontId="3" fillId="5" borderId="12" xfId="0" applyFont="1" applyFill="1" applyBorder="1" applyAlignment="1">
      <alignment vertical="top" wrapText="1"/>
    </xf>
    <xf numFmtId="0" fontId="3" fillId="6" borderId="0" xfId="0" applyFont="1" applyFill="1" applyBorder="1" applyAlignment="1">
      <alignment vertical="top" wrapText="1"/>
    </xf>
    <xf numFmtId="0" fontId="6" fillId="5" borderId="0" xfId="0" applyFont="1" applyFill="1" applyAlignment="1">
      <alignment vertical="center"/>
    </xf>
    <xf numFmtId="0" fontId="4" fillId="4" borderId="0" xfId="0" applyFont="1" applyFill="1" applyBorder="1" applyAlignment="1">
      <alignment vertical="top" wrapText="1"/>
    </xf>
    <xf numFmtId="0" fontId="3" fillId="0" borderId="3" xfId="0" applyFont="1" applyFill="1" applyBorder="1"/>
    <xf numFmtId="3" fontId="3" fillId="0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1" fontId="5" fillId="0" borderId="0" xfId="0" applyNumberFormat="1" applyFont="1" applyBorder="1"/>
    <xf numFmtId="0" fontId="4" fillId="0" borderId="18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3" fillId="0" borderId="18" xfId="0" applyFont="1" applyBorder="1" applyAlignment="1">
      <alignment vertical="center"/>
    </xf>
    <xf numFmtId="0" fontId="4" fillId="0" borderId="4" xfId="0" applyFont="1" applyBorder="1" applyAlignment="1">
      <alignment vertical="top" wrapText="1"/>
    </xf>
    <xf numFmtId="0" fontId="4" fillId="6" borderId="0" xfId="0" applyFont="1" applyFill="1" applyBorder="1" applyAlignment="1">
      <alignment wrapText="1"/>
    </xf>
    <xf numFmtId="9" fontId="3" fillId="2" borderId="2" xfId="1" applyFont="1" applyFill="1" applyBorder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9" fillId="0" borderId="1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13" xfId="0" applyFont="1" applyFill="1" applyBorder="1" applyAlignment="1" applyProtection="1">
      <alignment vertical="top" wrapText="1"/>
      <protection locked="0"/>
    </xf>
    <xf numFmtId="0" fontId="3" fillId="3" borderId="2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0" borderId="9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2" fontId="3" fillId="3" borderId="5" xfId="0" applyNumberFormat="1" applyFont="1" applyFill="1" applyBorder="1" applyAlignment="1" applyProtection="1">
      <alignment vertical="top"/>
      <protection locked="0"/>
    </xf>
    <xf numFmtId="1" fontId="3" fillId="3" borderId="5" xfId="0" applyNumberFormat="1" applyFont="1" applyFill="1" applyBorder="1" applyAlignment="1" applyProtection="1">
      <alignment vertical="top"/>
      <protection locked="0"/>
    </xf>
    <xf numFmtId="9" fontId="3" fillId="0" borderId="5" xfId="0" applyNumberFormat="1" applyFont="1" applyFill="1" applyBorder="1" applyAlignment="1" applyProtection="1">
      <alignment vertical="top"/>
      <protection locked="0"/>
    </xf>
    <xf numFmtId="4" fontId="3" fillId="3" borderId="5" xfId="0" applyNumberFormat="1" applyFont="1" applyFill="1" applyBorder="1" applyAlignment="1" applyProtection="1">
      <alignment vertical="top"/>
      <protection locked="0"/>
    </xf>
    <xf numFmtId="10" fontId="3" fillId="0" borderId="5" xfId="0" applyNumberFormat="1" applyFont="1" applyFill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alignment vertical="top"/>
      <protection locked="0"/>
    </xf>
    <xf numFmtId="9" fontId="3" fillId="7" borderId="5" xfId="1" applyFont="1" applyFill="1" applyBorder="1" applyAlignment="1" applyProtection="1">
      <alignment vertical="top"/>
      <protection locked="0"/>
    </xf>
    <xf numFmtId="4" fontId="3" fillId="0" borderId="5" xfId="0" applyNumberFormat="1" applyFont="1" applyFill="1" applyBorder="1" applyAlignment="1" applyProtection="1">
      <alignment vertical="top"/>
      <protection locked="0"/>
    </xf>
    <xf numFmtId="9" fontId="3" fillId="3" borderId="2" xfId="0" applyNumberFormat="1" applyFont="1" applyFill="1" applyBorder="1" applyAlignment="1" applyProtection="1">
      <alignment vertical="top"/>
      <protection locked="0"/>
    </xf>
    <xf numFmtId="0" fontId="3" fillId="0" borderId="12" xfId="0" applyFont="1" applyFill="1" applyBorder="1" applyAlignment="1" applyProtection="1">
      <alignment vertical="top" wrapText="1"/>
      <protection locked="0"/>
    </xf>
    <xf numFmtId="9" fontId="3" fillId="3" borderId="5" xfId="0" applyNumberFormat="1" applyFont="1" applyFill="1" applyBorder="1" applyAlignment="1" applyProtection="1">
      <alignment vertical="top"/>
      <protection locked="0"/>
    </xf>
    <xf numFmtId="2" fontId="3" fillId="7" borderId="9" xfId="0" applyNumberFormat="1" applyFont="1" applyFill="1" applyBorder="1" applyAlignment="1" applyProtection="1">
      <alignment vertical="top"/>
      <protection locked="0"/>
    </xf>
    <xf numFmtId="2" fontId="3" fillId="0" borderId="5" xfId="0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3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vertical="top" wrapText="1"/>
    </xf>
    <xf numFmtId="2" fontId="3" fillId="8" borderId="2" xfId="0" applyNumberFormat="1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vertical="top" wrapText="1"/>
    </xf>
    <xf numFmtId="2" fontId="3" fillId="8" borderId="9" xfId="0" applyNumberFormat="1" applyFont="1" applyFill="1" applyBorder="1" applyAlignment="1" applyProtection="1">
      <alignment vertical="top"/>
    </xf>
    <xf numFmtId="3" fontId="4" fillId="8" borderId="1" xfId="0" applyNumberFormat="1" applyFont="1" applyFill="1" applyBorder="1" applyAlignment="1"/>
    <xf numFmtId="2" fontId="3" fillId="8" borderId="5" xfId="0" applyNumberFormat="1" applyFont="1" applyFill="1" applyBorder="1"/>
    <xf numFmtId="0" fontId="3" fillId="0" borderId="12" xfId="0" applyFont="1" applyBorder="1" applyAlignment="1">
      <alignment vertical="center" wrapText="1"/>
    </xf>
    <xf numFmtId="0" fontId="3" fillId="0" borderId="8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vertical="top" wrapText="1"/>
    </xf>
    <xf numFmtId="0" fontId="3" fillId="4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wrapText="1"/>
    </xf>
    <xf numFmtId="0" fontId="3" fillId="6" borderId="0" xfId="0" applyFont="1" applyFill="1" applyBorder="1" applyAlignment="1" applyProtection="1">
      <alignment vertical="top" wrapText="1"/>
    </xf>
    <xf numFmtId="0" fontId="3" fillId="5" borderId="0" xfId="0" applyFont="1" applyFill="1" applyBorder="1" applyAlignment="1" applyProtection="1">
      <alignment vertical="top" wrapText="1"/>
    </xf>
    <xf numFmtId="1" fontId="3" fillId="8" borderId="5" xfId="0" applyNumberFormat="1" applyFont="1" applyFill="1" applyBorder="1" applyAlignment="1" applyProtection="1">
      <alignment vertical="top"/>
    </xf>
    <xf numFmtId="10" fontId="3" fillId="2" borderId="5" xfId="0" applyNumberFormat="1" applyFont="1" applyFill="1" applyBorder="1" applyAlignment="1" applyProtection="1">
      <alignment vertical="top"/>
    </xf>
    <xf numFmtId="194" fontId="3" fillId="2" borderId="5" xfId="0" applyNumberFormat="1" applyFont="1" applyFill="1" applyBorder="1" applyAlignment="1" applyProtection="1">
      <alignment vertical="top"/>
    </xf>
    <xf numFmtId="9" fontId="3" fillId="8" borderId="5" xfId="0" applyNumberFormat="1" applyFont="1" applyFill="1" applyBorder="1" applyAlignment="1" applyProtection="1">
      <alignment vertical="top"/>
    </xf>
    <xf numFmtId="10" fontId="3" fillId="8" borderId="5" xfId="0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Alignment="1" applyProtection="1">
      <alignment vertical="top"/>
    </xf>
    <xf numFmtId="0" fontId="3" fillId="0" borderId="0" xfId="0" applyFont="1" applyProtection="1"/>
    <xf numFmtId="0" fontId="3" fillId="0" borderId="16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3" fillId="0" borderId="11" xfId="0" applyFont="1" applyBorder="1" applyAlignment="1" applyProtection="1">
      <alignment vertical="top"/>
    </xf>
    <xf numFmtId="0" fontId="3" fillId="0" borderId="7" xfId="0" applyFont="1" applyBorder="1" applyAlignment="1" applyProtection="1">
      <alignment vertical="top"/>
    </xf>
    <xf numFmtId="0" fontId="3" fillId="0" borderId="11" xfId="0" applyFont="1" applyBorder="1" applyProtection="1"/>
    <xf numFmtId="0" fontId="4" fillId="0" borderId="1" xfId="0" applyFont="1" applyBorder="1" applyAlignment="1" applyProtection="1">
      <alignment horizontal="left" vertical="center"/>
    </xf>
    <xf numFmtId="0" fontId="8" fillId="0" borderId="0" xfId="0" applyFont="1" applyProtection="1"/>
    <xf numFmtId="0" fontId="3" fillId="0" borderId="1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2" fontId="3" fillId="2" borderId="15" xfId="0" applyNumberFormat="1" applyFont="1" applyFill="1" applyBorder="1" applyAlignment="1" applyProtection="1">
      <alignment vertical="center"/>
    </xf>
    <xf numFmtId="2" fontId="3" fillId="2" borderId="4" xfId="0" applyNumberFormat="1" applyFont="1" applyFill="1" applyBorder="1" applyAlignment="1" applyProtection="1">
      <alignment vertical="center"/>
    </xf>
    <xf numFmtId="2" fontId="3" fillId="5" borderId="2" xfId="0" applyNumberFormat="1" applyFont="1" applyFill="1" applyBorder="1" applyAlignment="1" applyProtection="1">
      <alignment vertical="center"/>
    </xf>
    <xf numFmtId="2" fontId="3" fillId="0" borderId="16" xfId="0" applyNumberFormat="1" applyFont="1" applyFill="1" applyBorder="1" applyAlignment="1" applyProtection="1">
      <alignment vertical="center"/>
    </xf>
    <xf numFmtId="2" fontId="3" fillId="0" borderId="18" xfId="0" applyNumberFormat="1" applyFont="1" applyFill="1" applyBorder="1" applyAlignment="1" applyProtection="1">
      <alignment vertical="center"/>
    </xf>
    <xf numFmtId="2" fontId="3" fillId="5" borderId="11" xfId="0" applyNumberFormat="1" applyFont="1" applyFill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1" fontId="3" fillId="2" borderId="19" xfId="0" applyNumberFormat="1" applyFont="1" applyFill="1" applyBorder="1" applyAlignment="1" applyProtection="1">
      <alignment vertical="center"/>
    </xf>
    <xf numFmtId="1" fontId="3" fillId="2" borderId="20" xfId="0" applyNumberFormat="1" applyFont="1" applyFill="1" applyBorder="1" applyAlignment="1" applyProtection="1">
      <alignment vertical="center"/>
    </xf>
    <xf numFmtId="1" fontId="3" fillId="0" borderId="2" xfId="0" applyNumberFormat="1" applyFont="1" applyBorder="1" applyAlignment="1" applyProtection="1">
      <alignment vertical="center"/>
    </xf>
    <xf numFmtId="0" fontId="3" fillId="0" borderId="2" xfId="0" applyNumberFormat="1" applyFont="1" applyBorder="1" applyAlignment="1" applyProtection="1">
      <alignment vertical="center"/>
    </xf>
    <xf numFmtId="2" fontId="3" fillId="0" borderId="2" xfId="0" applyNumberFormat="1" applyFont="1" applyBorder="1" applyAlignment="1" applyProtection="1">
      <alignment vertical="center"/>
    </xf>
    <xf numFmtId="2" fontId="3" fillId="0" borderId="16" xfId="0" applyNumberFormat="1" applyFont="1" applyBorder="1" applyAlignment="1" applyProtection="1">
      <alignment vertical="center"/>
    </xf>
    <xf numFmtId="2" fontId="3" fillId="0" borderId="18" xfId="0" applyNumberFormat="1" applyFont="1" applyBorder="1" applyAlignment="1" applyProtection="1">
      <alignment vertical="center"/>
    </xf>
    <xf numFmtId="2" fontId="3" fillId="0" borderId="11" xfId="0" applyNumberFormat="1" applyFont="1" applyBorder="1" applyAlignment="1" applyProtection="1">
      <alignment vertical="center"/>
    </xf>
    <xf numFmtId="0" fontId="4" fillId="7" borderId="15" xfId="0" applyFont="1" applyFill="1" applyBorder="1" applyAlignment="1" applyProtection="1">
      <alignment vertical="center"/>
    </xf>
    <xf numFmtId="2" fontId="3" fillId="2" borderId="2" xfId="0" applyNumberFormat="1" applyFont="1" applyFill="1" applyBorder="1" applyAlignment="1" applyProtection="1">
      <alignment horizontal="center" vertical="center"/>
    </xf>
    <xf numFmtId="2" fontId="3" fillId="2" borderId="11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192" fontId="3" fillId="0" borderId="16" xfId="0" applyNumberFormat="1" applyFont="1" applyFill="1" applyBorder="1" applyAlignment="1" applyProtection="1">
      <alignment vertical="center"/>
    </xf>
    <xf numFmtId="192" fontId="3" fillId="0" borderId="18" xfId="0" applyNumberFormat="1" applyFont="1" applyFill="1" applyBorder="1" applyAlignment="1" applyProtection="1">
      <alignment vertical="center"/>
    </xf>
    <xf numFmtId="193" fontId="3" fillId="0" borderId="18" xfId="0" applyNumberFormat="1" applyFont="1" applyFill="1" applyBorder="1" applyAlignment="1" applyProtection="1">
      <alignment vertical="center"/>
    </xf>
    <xf numFmtId="2" fontId="3" fillId="0" borderId="11" xfId="0" applyNumberFormat="1" applyFont="1" applyFill="1" applyBorder="1" applyAlignment="1" applyProtection="1">
      <alignment vertical="center"/>
    </xf>
    <xf numFmtId="2" fontId="3" fillId="0" borderId="15" xfId="0" applyNumberFormat="1" applyFont="1" applyFill="1" applyBorder="1" applyAlignment="1" applyProtection="1">
      <alignment vertical="center"/>
    </xf>
    <xf numFmtId="2" fontId="3" fillId="0" borderId="4" xfId="0" applyNumberFormat="1" applyFont="1" applyFill="1" applyBorder="1" applyAlignment="1" applyProtection="1">
      <alignment vertical="center"/>
    </xf>
    <xf numFmtId="2" fontId="3" fillId="0" borderId="13" xfId="0" applyNumberFormat="1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14" fillId="0" borderId="24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2" fontId="6" fillId="2" borderId="26" xfId="0" applyNumberFormat="1" applyFont="1" applyFill="1" applyBorder="1" applyAlignment="1" applyProtection="1">
      <alignment vertical="center"/>
    </xf>
    <xf numFmtId="2" fontId="6" fillId="2" borderId="27" xfId="0" applyNumberFormat="1" applyFont="1" applyFill="1" applyBorder="1" applyAlignment="1" applyProtection="1">
      <alignment vertical="center"/>
    </xf>
    <xf numFmtId="2" fontId="6" fillId="2" borderId="28" xfId="0" applyNumberFormat="1" applyFont="1" applyFill="1" applyBorder="1" applyAlignment="1" applyProtection="1">
      <alignment vertical="center"/>
    </xf>
    <xf numFmtId="2" fontId="6" fillId="2" borderId="29" xfId="0" applyNumberFormat="1" applyFont="1" applyFill="1" applyBorder="1" applyAlignment="1" applyProtection="1">
      <alignment vertical="center"/>
    </xf>
    <xf numFmtId="0" fontId="3" fillId="5" borderId="17" xfId="0" applyFont="1" applyFill="1" applyBorder="1" applyAlignment="1" applyProtection="1">
      <alignment vertical="center"/>
    </xf>
    <xf numFmtId="0" fontId="3" fillId="5" borderId="30" xfId="0" applyFont="1" applyFill="1" applyBorder="1" applyAlignment="1" applyProtection="1">
      <alignment vertical="center"/>
    </xf>
    <xf numFmtId="0" fontId="6" fillId="5" borderId="31" xfId="0" applyFont="1" applyFill="1" applyBorder="1" applyAlignment="1" applyProtection="1">
      <alignment vertical="center"/>
    </xf>
    <xf numFmtId="0" fontId="6" fillId="5" borderId="32" xfId="0" applyFont="1" applyFill="1" applyBorder="1" applyAlignment="1" applyProtection="1">
      <alignment vertical="center"/>
    </xf>
    <xf numFmtId="2" fontId="6" fillId="5" borderId="17" xfId="0" applyNumberFormat="1" applyFont="1" applyFill="1" applyBorder="1" applyAlignment="1" applyProtection="1">
      <alignment vertical="center"/>
    </xf>
    <xf numFmtId="2" fontId="6" fillId="5" borderId="31" xfId="0" applyNumberFormat="1" applyFont="1" applyFill="1" applyBorder="1" applyAlignment="1" applyProtection="1">
      <alignment vertical="center"/>
    </xf>
    <xf numFmtId="2" fontId="6" fillId="5" borderId="32" xfId="0" applyNumberFormat="1" applyFont="1" applyFill="1" applyBorder="1" applyAlignment="1" applyProtection="1">
      <alignment vertical="center"/>
    </xf>
    <xf numFmtId="2" fontId="6" fillId="5" borderId="33" xfId="0" applyNumberFormat="1" applyFont="1" applyFill="1" applyBorder="1" applyAlignment="1" applyProtection="1">
      <alignment vertical="center"/>
    </xf>
    <xf numFmtId="0" fontId="6" fillId="0" borderId="23" xfId="0" applyFont="1" applyFill="1" applyBorder="1" applyAlignment="1" applyProtection="1">
      <alignment vertical="center"/>
    </xf>
    <xf numFmtId="0" fontId="6" fillId="0" borderId="24" xfId="0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vertical="center"/>
    </xf>
    <xf numFmtId="0" fontId="6" fillId="0" borderId="25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 wrapText="1"/>
    </xf>
    <xf numFmtId="0" fontId="3" fillId="0" borderId="34" xfId="0" applyFont="1" applyFill="1" applyBorder="1" applyAlignment="1" applyProtection="1">
      <alignment vertical="center"/>
    </xf>
    <xf numFmtId="192" fontId="6" fillId="0" borderId="27" xfId="0" applyNumberFormat="1" applyFont="1" applyBorder="1" applyAlignment="1" applyProtection="1">
      <alignment vertical="center"/>
    </xf>
    <xf numFmtId="192" fontId="6" fillId="0" borderId="28" xfId="0" applyNumberFormat="1" applyFont="1" applyBorder="1" applyAlignment="1" applyProtection="1">
      <alignment vertical="center"/>
    </xf>
    <xf numFmtId="0" fontId="3" fillId="0" borderId="34" xfId="0" applyFont="1" applyFill="1" applyBorder="1" applyAlignment="1" applyProtection="1">
      <alignment vertical="center" wrapText="1"/>
    </xf>
    <xf numFmtId="192" fontId="6" fillId="0" borderId="27" xfId="0" applyNumberFormat="1" applyFont="1" applyBorder="1" applyAlignment="1" applyProtection="1">
      <alignment vertical="center" wrapText="1"/>
    </xf>
    <xf numFmtId="192" fontId="6" fillId="0" borderId="28" xfId="0" applyNumberFormat="1" applyFont="1" applyBorder="1" applyAlignment="1" applyProtection="1">
      <alignment vertical="center" wrapText="1"/>
    </xf>
    <xf numFmtId="2" fontId="6" fillId="0" borderId="26" xfId="0" applyNumberFormat="1" applyFont="1" applyFill="1" applyBorder="1" applyAlignment="1" applyProtection="1">
      <alignment vertical="center" wrapText="1"/>
    </xf>
    <xf numFmtId="192" fontId="6" fillId="0" borderId="27" xfId="0" applyNumberFormat="1" applyFont="1" applyFill="1" applyBorder="1" applyAlignment="1" applyProtection="1">
      <alignment vertical="center" wrapText="1"/>
    </xf>
    <xf numFmtId="192" fontId="6" fillId="0" borderId="28" xfId="0" applyNumberFormat="1" applyFont="1" applyFill="1" applyBorder="1" applyAlignment="1" applyProtection="1">
      <alignment vertical="center" wrapText="1"/>
    </xf>
    <xf numFmtId="2" fontId="6" fillId="0" borderId="35" xfId="0" applyNumberFormat="1" applyFont="1" applyBorder="1" applyAlignment="1" applyProtection="1">
      <alignment vertical="center" wrapText="1"/>
    </xf>
    <xf numFmtId="2" fontId="6" fillId="0" borderId="34" xfId="0" applyNumberFormat="1" applyFont="1" applyBorder="1" applyAlignment="1" applyProtection="1">
      <alignment vertical="center" wrapText="1"/>
    </xf>
    <xf numFmtId="9" fontId="6" fillId="2" borderId="36" xfId="0" applyNumberFormat="1" applyFont="1" applyFill="1" applyBorder="1" applyAlignment="1" applyProtection="1">
      <alignment vertical="center" wrapText="1"/>
    </xf>
    <xf numFmtId="0" fontId="3" fillId="0" borderId="28" xfId="0" applyFont="1" applyFill="1" applyBorder="1" applyAlignment="1" applyProtection="1">
      <alignment vertical="center"/>
    </xf>
    <xf numFmtId="192" fontId="6" fillId="2" borderId="35" xfId="0" applyNumberFormat="1" applyFont="1" applyFill="1" applyBorder="1" applyAlignment="1" applyProtection="1">
      <alignment vertical="center"/>
    </xf>
    <xf numFmtId="192" fontId="6" fillId="2" borderId="28" xfId="0" applyNumberFormat="1" applyFont="1" applyFill="1" applyBorder="1" applyAlignment="1" applyProtection="1">
      <alignment vertical="center"/>
    </xf>
    <xf numFmtId="192" fontId="6" fillId="2" borderId="37" xfId="0" applyNumberFormat="1" applyFont="1" applyFill="1" applyBorder="1" applyAlignment="1" applyProtection="1">
      <alignment vertical="center"/>
    </xf>
    <xf numFmtId="192" fontId="6" fillId="2" borderId="26" xfId="0" applyNumberFormat="1" applyFont="1" applyFill="1" applyBorder="1" applyAlignment="1" applyProtection="1">
      <alignment vertical="center"/>
    </xf>
    <xf numFmtId="192" fontId="6" fillId="2" borderId="27" xfId="0" applyNumberFormat="1" applyFont="1" applyFill="1" applyBorder="1" applyAlignment="1" applyProtection="1">
      <alignment vertical="center"/>
    </xf>
    <xf numFmtId="2" fontId="6" fillId="0" borderId="35" xfId="0" applyNumberFormat="1" applyFont="1" applyBorder="1" applyAlignment="1" applyProtection="1">
      <alignment vertical="center"/>
    </xf>
    <xf numFmtId="2" fontId="6" fillId="0" borderId="34" xfId="0" applyNumberFormat="1" applyFont="1" applyBorder="1" applyAlignment="1" applyProtection="1">
      <alignment vertical="center"/>
    </xf>
    <xf numFmtId="2" fontId="6" fillId="2" borderId="36" xfId="0" applyNumberFormat="1" applyFont="1" applyFill="1" applyBorder="1" applyAlignment="1" applyProtection="1">
      <alignment vertical="center"/>
    </xf>
    <xf numFmtId="2" fontId="3" fillId="0" borderId="28" xfId="0" applyNumberFormat="1" applyFont="1" applyFill="1" applyBorder="1" applyAlignment="1" applyProtection="1">
      <alignment vertical="center" wrapText="1"/>
    </xf>
    <xf numFmtId="2" fontId="3" fillId="0" borderId="34" xfId="0" applyNumberFormat="1" applyFont="1" applyFill="1" applyBorder="1" applyAlignment="1" applyProtection="1">
      <alignment vertical="center"/>
    </xf>
    <xf numFmtId="0" fontId="6" fillId="0" borderId="28" xfId="0" applyFont="1" applyFill="1" applyBorder="1" applyAlignment="1" applyProtection="1">
      <alignment vertical="center" wrapText="1"/>
    </xf>
    <xf numFmtId="1" fontId="6" fillId="0" borderId="27" xfId="0" applyNumberFormat="1" applyFont="1" applyBorder="1" applyAlignment="1" applyProtection="1">
      <alignment vertical="center"/>
    </xf>
    <xf numFmtId="1" fontId="6" fillId="2" borderId="28" xfId="0" applyNumberFormat="1" applyFont="1" applyFill="1" applyBorder="1" applyAlignment="1" applyProtection="1">
      <alignment vertical="center"/>
    </xf>
    <xf numFmtId="1" fontId="6" fillId="0" borderId="28" xfId="0" applyNumberFormat="1" applyFont="1" applyBorder="1" applyAlignment="1" applyProtection="1">
      <alignment vertical="center"/>
    </xf>
    <xf numFmtId="1" fontId="6" fillId="0" borderId="26" xfId="0" applyNumberFormat="1" applyFont="1" applyFill="1" applyBorder="1" applyAlignment="1" applyProtection="1">
      <alignment vertical="center"/>
    </xf>
    <xf numFmtId="2" fontId="6" fillId="0" borderId="26" xfId="0" applyNumberFormat="1" applyFont="1" applyFill="1" applyBorder="1" applyAlignment="1" applyProtection="1">
      <alignment vertical="center"/>
    </xf>
    <xf numFmtId="1" fontId="6" fillId="0" borderId="35" xfId="0" applyNumberFormat="1" applyFont="1" applyBorder="1" applyAlignment="1" applyProtection="1">
      <alignment vertical="center"/>
    </xf>
    <xf numFmtId="1" fontId="6" fillId="0" borderId="34" xfId="0" applyNumberFormat="1" applyFont="1" applyBorder="1" applyAlignment="1" applyProtection="1">
      <alignment vertical="center"/>
    </xf>
    <xf numFmtId="1" fontId="6" fillId="2" borderId="36" xfId="0" applyNumberFormat="1" applyFont="1" applyFill="1" applyBorder="1" applyAlignment="1" applyProtection="1">
      <alignment vertical="center"/>
    </xf>
    <xf numFmtId="20" fontId="3" fillId="3" borderId="8" xfId="0" applyNumberFormat="1" applyFont="1" applyFill="1" applyBorder="1" applyAlignment="1" applyProtection="1">
      <alignment horizontal="left" vertical="center" textRotation="180"/>
      <protection locked="0"/>
    </xf>
    <xf numFmtId="20" fontId="3" fillId="3" borderId="0" xfId="0" applyNumberFormat="1" applyFont="1" applyFill="1" applyBorder="1" applyAlignment="1" applyProtection="1">
      <alignment horizontal="left" vertical="center" textRotation="180"/>
      <protection locked="0"/>
    </xf>
    <xf numFmtId="20" fontId="3" fillId="7" borderId="8" xfId="0" applyNumberFormat="1" applyFont="1" applyFill="1" applyBorder="1" applyAlignment="1" applyProtection="1">
      <alignment horizontal="left" vertical="center" textRotation="180"/>
      <protection locked="0"/>
    </xf>
    <xf numFmtId="20" fontId="3" fillId="3" borderId="8" xfId="0" applyNumberFormat="1" applyFont="1" applyFill="1" applyBorder="1" applyAlignment="1" applyProtection="1">
      <alignment vertical="center" textRotation="180"/>
      <protection locked="0"/>
    </xf>
    <xf numFmtId="0" fontId="4" fillId="7" borderId="15" xfId="0" applyFont="1" applyFill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1" fontId="3" fillId="3" borderId="38" xfId="0" applyNumberFormat="1" applyFont="1" applyFill="1" applyBorder="1" applyAlignment="1" applyProtection="1">
      <alignment horizontal="center" vertical="center"/>
      <protection locked="0"/>
    </xf>
    <xf numFmtId="1" fontId="3" fillId="3" borderId="39" xfId="0" applyNumberFormat="1" applyFont="1" applyFill="1" applyBorder="1" applyAlignment="1" applyProtection="1">
      <alignment horizontal="center" vertical="center"/>
      <protection locked="0"/>
    </xf>
    <xf numFmtId="192" fontId="3" fillId="0" borderId="18" xfId="0" applyNumberFormat="1" applyFont="1" applyFill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3" borderId="27" xfId="0" applyFont="1" applyFill="1" applyBorder="1" applyAlignment="1" applyProtection="1">
      <alignment vertical="center"/>
      <protection locked="0"/>
    </xf>
    <xf numFmtId="0" fontId="6" fillId="3" borderId="28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3" fillId="3" borderId="34" xfId="0" applyFont="1" applyFill="1" applyBorder="1" applyAlignment="1" applyProtection="1">
      <alignment vertical="center"/>
      <protection locked="0"/>
    </xf>
    <xf numFmtId="193" fontId="3" fillId="0" borderId="18" xfId="0" applyNumberFormat="1" applyFont="1" applyFill="1" applyBorder="1" applyAlignment="1" applyProtection="1">
      <alignment vertical="center"/>
      <protection locked="0"/>
    </xf>
    <xf numFmtId="0" fontId="6" fillId="5" borderId="0" xfId="0" applyFont="1" applyFill="1" applyProtection="1"/>
    <xf numFmtId="0" fontId="13" fillId="0" borderId="0" xfId="0" applyFont="1" applyProtection="1"/>
    <xf numFmtId="0" fontId="6" fillId="5" borderId="31" xfId="0" applyFont="1" applyFill="1" applyBorder="1" applyAlignment="1" applyProtection="1">
      <alignment vertical="center"/>
      <protection locked="0"/>
    </xf>
    <xf numFmtId="0" fontId="6" fillId="5" borderId="32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192" fontId="3" fillId="0" borderId="16" xfId="0" applyNumberFormat="1" applyFont="1" applyFill="1" applyBorder="1" applyAlignment="1" applyProtection="1">
      <alignment vertical="center"/>
      <protection locked="0"/>
    </xf>
    <xf numFmtId="192" fontId="3" fillId="3" borderId="5" xfId="0" applyNumberFormat="1" applyFont="1" applyFill="1" applyBorder="1" applyProtection="1">
      <protection locked="0"/>
    </xf>
    <xf numFmtId="10" fontId="3" fillId="3" borderId="2" xfId="0" applyNumberFormat="1" applyFont="1" applyFill="1" applyBorder="1" applyProtection="1">
      <protection locked="0"/>
    </xf>
    <xf numFmtId="3" fontId="3" fillId="3" borderId="9" xfId="0" applyNumberFormat="1" applyFont="1" applyFill="1" applyBorder="1" applyAlignment="1" applyProtection="1">
      <alignment horizontal="right"/>
      <protection locked="0"/>
    </xf>
    <xf numFmtId="0" fontId="0" fillId="7" borderId="0" xfId="0" applyFill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center" textRotation="180"/>
    </xf>
    <xf numFmtId="0" fontId="9" fillId="0" borderId="9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textRotation="180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20" fontId="3" fillId="5" borderId="2" xfId="0" applyNumberFormat="1" applyFont="1" applyFill="1" applyBorder="1" applyAlignment="1" applyProtection="1">
      <alignment horizontal="center" vertical="center" textRotation="18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E84"/>
  <sheetViews>
    <sheetView showGridLines="0" showRowColHeaders="0" tabSelected="1" view="pageLayout" zoomScale="130" zoomScaleNormal="150" zoomScalePageLayoutView="130" workbookViewId="0">
      <selection activeCell="D1" sqref="D1:E1"/>
    </sheetView>
  </sheetViews>
  <sheetFormatPr baseColWidth="10" defaultColWidth="10.85546875" defaultRowHeight="12.75"/>
  <cols>
    <col min="1" max="1" width="58" style="151" customWidth="1"/>
    <col min="2" max="2" width="2.85546875" style="151" customWidth="1"/>
    <col min="3" max="3" width="11.42578125" style="143" bestFit="1" customWidth="1"/>
    <col min="4" max="4" width="10.85546875" style="144" customWidth="1"/>
    <col min="5" max="16384" width="10.85546875" style="143"/>
  </cols>
  <sheetData>
    <row r="1" spans="1:5" ht="31.5">
      <c r="A1" s="188" t="s">
        <v>185</v>
      </c>
      <c r="B1" s="142"/>
      <c r="C1" s="143" t="s">
        <v>215</v>
      </c>
      <c r="D1" s="328"/>
      <c r="E1" s="328"/>
    </row>
    <row r="2" spans="1:5">
      <c r="A2" s="179"/>
    </row>
    <row r="3" spans="1:5" ht="15.75">
      <c r="A3" s="189"/>
      <c r="B3" s="141"/>
    </row>
    <row r="4" spans="1:5" ht="15.75">
      <c r="A4" s="189" t="s">
        <v>29</v>
      </c>
      <c r="B4" s="141"/>
    </row>
    <row r="5" spans="1:5">
      <c r="A5" s="190"/>
      <c r="B5" s="145"/>
      <c r="D5" s="143"/>
    </row>
    <row r="6" spans="1:5" s="150" customFormat="1" ht="13.5" customHeight="1">
      <c r="A6" s="178" t="s">
        <v>30</v>
      </c>
      <c r="B6" s="147"/>
      <c r="C6" s="148" t="s">
        <v>31</v>
      </c>
      <c r="D6" s="149" t="s">
        <v>32</v>
      </c>
      <c r="E6" s="148" t="s">
        <v>33</v>
      </c>
    </row>
    <row r="7" spans="1:5" ht="13.5" customHeight="1">
      <c r="A7" s="179" t="s">
        <v>34</v>
      </c>
      <c r="B7" s="152"/>
      <c r="C7" s="153">
        <v>38</v>
      </c>
      <c r="D7" s="153">
        <v>38</v>
      </c>
      <c r="E7" s="153">
        <v>38</v>
      </c>
    </row>
    <row r="8" spans="1:5" s="145" customFormat="1" ht="13.5" customHeight="1">
      <c r="A8" s="179" t="s">
        <v>35</v>
      </c>
      <c r="B8" s="151"/>
      <c r="C8" s="154"/>
      <c r="D8" s="154"/>
      <c r="E8" s="154"/>
    </row>
    <row r="9" spans="1:5" s="145" customFormat="1" ht="13.5" customHeight="1">
      <c r="A9" s="179"/>
      <c r="B9" s="151"/>
      <c r="C9" s="155"/>
      <c r="D9" s="155"/>
      <c r="E9" s="155"/>
    </row>
    <row r="10" spans="1:5" s="157" customFormat="1" ht="13.5" customHeight="1">
      <c r="A10" s="178" t="s">
        <v>149</v>
      </c>
      <c r="B10" s="146"/>
      <c r="C10" s="156"/>
      <c r="D10" s="156"/>
      <c r="E10" s="156"/>
    </row>
    <row r="11" spans="1:5" s="145" customFormat="1" ht="13.5" customHeight="1">
      <c r="A11" s="179" t="s">
        <v>36</v>
      </c>
      <c r="B11" s="151"/>
      <c r="C11" s="196">
        <v>1903</v>
      </c>
      <c r="D11" s="196">
        <v>1903</v>
      </c>
      <c r="E11" s="196">
        <v>1903</v>
      </c>
    </row>
    <row r="12" spans="1:5" ht="13.5" customHeight="1">
      <c r="A12" s="179" t="s">
        <v>37</v>
      </c>
      <c r="C12" s="158"/>
      <c r="D12" s="158"/>
      <c r="E12" s="158"/>
    </row>
    <row r="13" spans="1:5" ht="13.5" customHeight="1">
      <c r="A13" s="179" t="s">
        <v>150</v>
      </c>
      <c r="C13" s="197">
        <f>(C12*C7)/C11</f>
        <v>0</v>
      </c>
      <c r="D13" s="197">
        <f>(D12*D7)/D11</f>
        <v>0</v>
      </c>
      <c r="E13" s="197">
        <f>(E12*E7)/E11</f>
        <v>0</v>
      </c>
    </row>
    <row r="14" spans="1:5" ht="25.5" customHeight="1">
      <c r="A14" s="179" t="s">
        <v>38</v>
      </c>
      <c r="C14" s="159"/>
      <c r="D14" s="159"/>
      <c r="E14" s="159"/>
    </row>
    <row r="15" spans="1:5" ht="25.5">
      <c r="A15" s="179" t="s">
        <v>186</v>
      </c>
      <c r="C15" s="198">
        <f>42/C11</f>
        <v>2.207041513399895E-2</v>
      </c>
      <c r="D15" s="198">
        <f>42/D11</f>
        <v>2.207041513399895E-2</v>
      </c>
      <c r="E15" s="198">
        <f>42/E11</f>
        <v>2.207041513399895E-2</v>
      </c>
    </row>
    <row r="16" spans="1:5" ht="25.5" customHeight="1">
      <c r="A16" s="179" t="s">
        <v>144</v>
      </c>
      <c r="C16" s="199">
        <v>0.1</v>
      </c>
      <c r="D16" s="199">
        <v>0.1</v>
      </c>
      <c r="E16" s="199">
        <v>0.1</v>
      </c>
    </row>
    <row r="17" spans="1:5" ht="13.5" customHeight="1">
      <c r="A17" s="179"/>
      <c r="C17" s="160"/>
      <c r="D17" s="160"/>
      <c r="E17" s="160"/>
    </row>
    <row r="18" spans="1:5" s="157" customFormat="1" ht="13.5" customHeight="1">
      <c r="A18" s="178" t="s">
        <v>216</v>
      </c>
      <c r="B18" s="146"/>
      <c r="C18" s="156"/>
      <c r="D18" s="156"/>
      <c r="E18" s="156"/>
    </row>
    <row r="19" spans="1:5" ht="13.5" customHeight="1">
      <c r="A19" s="179" t="s">
        <v>145</v>
      </c>
      <c r="C19" s="161">
        <v>114249</v>
      </c>
      <c r="D19" s="161">
        <v>114249</v>
      </c>
      <c r="E19" s="161">
        <v>114249</v>
      </c>
    </row>
    <row r="20" spans="1:5" ht="25.5">
      <c r="A20" s="179" t="s">
        <v>187</v>
      </c>
      <c r="C20" s="161">
        <v>103216</v>
      </c>
      <c r="D20" s="161">
        <v>103216</v>
      </c>
      <c r="E20" s="161">
        <v>103216</v>
      </c>
    </row>
    <row r="21" spans="1:5" ht="38.25">
      <c r="A21" s="179" t="s">
        <v>212</v>
      </c>
      <c r="C21" s="161">
        <v>67236</v>
      </c>
      <c r="D21" s="161">
        <v>67236</v>
      </c>
      <c r="E21" s="161">
        <v>67236</v>
      </c>
    </row>
    <row r="22" spans="1:5" ht="25.5">
      <c r="A22" s="191" t="s">
        <v>39</v>
      </c>
      <c r="C22" s="161"/>
      <c r="D22" s="161"/>
      <c r="E22" s="161"/>
    </row>
    <row r="23" spans="1:5">
      <c r="A23" s="192" t="s">
        <v>189</v>
      </c>
      <c r="C23" s="161">
        <v>63130</v>
      </c>
      <c r="D23" s="161">
        <v>63130</v>
      </c>
      <c r="E23" s="161">
        <v>63130</v>
      </c>
    </row>
    <row r="24" spans="1:5" ht="13.5" customHeight="1">
      <c r="A24" s="179" t="s">
        <v>40</v>
      </c>
      <c r="C24" s="200">
        <v>0.184</v>
      </c>
      <c r="D24" s="200">
        <v>0.184</v>
      </c>
      <c r="E24" s="200">
        <v>0.184</v>
      </c>
    </row>
    <row r="25" spans="1:5" ht="13.5" customHeight="1">
      <c r="A25" s="179"/>
      <c r="C25" s="162"/>
      <c r="D25" s="162"/>
      <c r="E25" s="162"/>
    </row>
    <row r="26" spans="1:5" s="157" customFormat="1" ht="13.5" customHeight="1">
      <c r="A26" s="178" t="s">
        <v>41</v>
      </c>
      <c r="B26" s="146"/>
      <c r="C26" s="156"/>
      <c r="D26" s="156"/>
      <c r="E26" s="156"/>
    </row>
    <row r="27" spans="1:5" s="157" customFormat="1" ht="13.5" customHeight="1">
      <c r="A27" s="193" t="s">
        <v>188</v>
      </c>
      <c r="B27" s="147"/>
      <c r="C27" s="163"/>
      <c r="D27" s="163"/>
      <c r="E27" s="163"/>
    </row>
    <row r="28" spans="1:5" ht="13.5" customHeight="1">
      <c r="A28" s="194" t="s">
        <v>42</v>
      </c>
      <c r="C28" s="161"/>
      <c r="D28" s="161"/>
      <c r="E28" s="161"/>
    </row>
    <row r="29" spans="1:5" ht="13.5" customHeight="1">
      <c r="A29" s="194" t="s">
        <v>43</v>
      </c>
      <c r="C29" s="161"/>
      <c r="D29" s="161"/>
      <c r="E29" s="161"/>
    </row>
    <row r="30" spans="1:5" ht="13.5" customHeight="1">
      <c r="A30" s="191" t="s">
        <v>44</v>
      </c>
      <c r="C30" s="161"/>
      <c r="D30" s="161"/>
      <c r="E30" s="161"/>
    </row>
    <row r="31" spans="1:5" ht="13.5" customHeight="1">
      <c r="A31" s="192" t="s">
        <v>146</v>
      </c>
      <c r="C31" s="161"/>
      <c r="D31" s="161"/>
      <c r="E31" s="161"/>
    </row>
    <row r="32" spans="1:5" ht="13.5" customHeight="1">
      <c r="A32" s="192" t="s">
        <v>142</v>
      </c>
      <c r="C32" s="161"/>
      <c r="D32" s="161"/>
      <c r="E32" s="161"/>
    </row>
    <row r="33" spans="1:5" ht="13.5" customHeight="1">
      <c r="A33" s="192" t="s">
        <v>143</v>
      </c>
      <c r="C33" s="161"/>
      <c r="D33" s="161"/>
      <c r="E33" s="161"/>
    </row>
    <row r="34" spans="1:5" ht="13.5" customHeight="1">
      <c r="A34" s="179" t="s">
        <v>45</v>
      </c>
      <c r="C34" s="161"/>
      <c r="D34" s="161"/>
      <c r="E34" s="161"/>
    </row>
    <row r="35" spans="1:5" ht="13.5" customHeight="1">
      <c r="A35" s="179" t="s">
        <v>46</v>
      </c>
      <c r="C35" s="161"/>
      <c r="D35" s="161"/>
      <c r="E35" s="161"/>
    </row>
    <row r="36" spans="1:5" ht="25.5" customHeight="1">
      <c r="A36" s="195" t="s">
        <v>147</v>
      </c>
      <c r="B36" s="164"/>
      <c r="C36" s="165">
        <v>1</v>
      </c>
      <c r="D36" s="165">
        <v>1</v>
      </c>
      <c r="E36" s="165">
        <v>1</v>
      </c>
    </row>
    <row r="37" spans="1:5" ht="13.5" customHeight="1">
      <c r="A37" s="179"/>
      <c r="C37" s="166"/>
      <c r="D37" s="166"/>
      <c r="E37" s="166"/>
    </row>
    <row r="38" spans="1:5" ht="13.5" customHeight="1">
      <c r="A38" s="178" t="s">
        <v>47</v>
      </c>
      <c r="B38" s="146"/>
      <c r="C38" s="156"/>
      <c r="D38" s="156"/>
      <c r="E38" s="156"/>
    </row>
    <row r="39" spans="1:5" ht="13.5" customHeight="1">
      <c r="A39" s="195" t="s">
        <v>48</v>
      </c>
      <c r="C39" s="161"/>
      <c r="D39" s="161"/>
      <c r="E39" s="161"/>
    </row>
    <row r="40" spans="1:5" ht="13.5" customHeight="1">
      <c r="A40" s="195" t="s">
        <v>148</v>
      </c>
      <c r="C40" s="161"/>
      <c r="D40" s="161"/>
      <c r="E40" s="161"/>
    </row>
    <row r="41" spans="1:5" ht="13.5" customHeight="1">
      <c r="A41" s="179"/>
      <c r="C41" s="166"/>
      <c r="D41" s="166"/>
      <c r="E41" s="166"/>
    </row>
    <row r="42" spans="1:5" s="157" customFormat="1" ht="13.5" customHeight="1">
      <c r="A42" s="178" t="s">
        <v>49</v>
      </c>
      <c r="B42" s="146"/>
      <c r="C42" s="156"/>
      <c r="D42" s="156"/>
      <c r="E42" s="156"/>
    </row>
    <row r="43" spans="1:5" s="145" customFormat="1" ht="13.5" customHeight="1">
      <c r="A43" s="179" t="s">
        <v>25</v>
      </c>
      <c r="B43" s="151"/>
      <c r="C43" s="167"/>
      <c r="D43" s="167"/>
      <c r="E43" s="167"/>
    </row>
    <row r="44" spans="1:5" s="145" customFormat="1" ht="13.5" customHeight="1">
      <c r="A44" s="179" t="s">
        <v>190</v>
      </c>
      <c r="B44" s="168"/>
      <c r="C44" s="169"/>
      <c r="D44" s="169"/>
      <c r="E44" s="169"/>
    </row>
    <row r="45" spans="1:5" s="145" customFormat="1" ht="13.5" customHeight="1">
      <c r="A45" s="190" t="s">
        <v>50</v>
      </c>
      <c r="B45" s="164"/>
      <c r="C45" s="199">
        <f>SUM(C43:C44)</f>
        <v>0</v>
      </c>
      <c r="D45" s="199">
        <f>SUM(D43:D44)</f>
        <v>0</v>
      </c>
      <c r="E45" s="199">
        <f>SUM(E43:E44)</f>
        <v>0</v>
      </c>
    </row>
    <row r="46" spans="1:5" ht="13.5" customHeight="1">
      <c r="A46" s="179" t="s">
        <v>51</v>
      </c>
      <c r="B46" s="168"/>
      <c r="C46" s="170"/>
      <c r="D46" s="170"/>
      <c r="E46" s="170"/>
    </row>
    <row r="47" spans="1:5" ht="13.5" customHeight="1">
      <c r="A47" s="179"/>
      <c r="C47" s="171"/>
      <c r="D47" s="171"/>
      <c r="E47" s="171"/>
    </row>
    <row r="48" spans="1:5" s="157" customFormat="1" ht="25.5">
      <c r="A48" s="178" t="s">
        <v>52</v>
      </c>
      <c r="B48" s="146"/>
      <c r="C48" s="186"/>
      <c r="D48" s="186"/>
      <c r="E48" s="186"/>
    </row>
    <row r="49" spans="1:5" s="145" customFormat="1" ht="13.5" customHeight="1">
      <c r="A49" s="179" t="s">
        <v>191</v>
      </c>
      <c r="B49" s="151"/>
      <c r="C49" s="180">
        <v>10.98</v>
      </c>
      <c r="D49" s="180">
        <v>10.98</v>
      </c>
      <c r="E49" s="180">
        <v>10.98</v>
      </c>
    </row>
    <row r="50" spans="1:5" ht="13.5" customHeight="1">
      <c r="A50" s="181" t="s">
        <v>53</v>
      </c>
      <c r="B50" s="187"/>
      <c r="C50" s="182">
        <v>5.49</v>
      </c>
      <c r="D50" s="182">
        <v>5.49</v>
      </c>
      <c r="E50" s="182">
        <v>5.49</v>
      </c>
    </row>
    <row r="51" spans="1:5" s="172" customFormat="1" ht="12"/>
    <row r="52" spans="1:5">
      <c r="A52" s="173"/>
      <c r="B52" s="173"/>
    </row>
    <row r="53" spans="1:5">
      <c r="A53" s="174"/>
      <c r="B53" s="174"/>
    </row>
    <row r="57" spans="1:5" s="175" customFormat="1" ht="11.25">
      <c r="D57" s="176"/>
    </row>
    <row r="84" spans="1:2">
      <c r="A84" s="177"/>
      <c r="B84" s="177"/>
    </row>
  </sheetData>
  <sheetProtection password="CCBC" sheet="1" selectLockedCells="1"/>
  <customSheetViews>
    <customSheetView guid="{48BF2AC7-6055-432C-8BF0-71FB56F968AB}" scale="130" showPageBreaks="1" showGridLines="0" showRowCol="0" fitToPage="1" view="pageLayout" topLeftCell="A16">
      <selection activeCell="A18" sqref="A18"/>
      <pageMargins left="0.98425196850393704" right="0.59055118110236227" top="0.78740157480314965" bottom="0.59055118110236227" header="0.51181102362204722" footer="0.51181102362204722"/>
      <pageSetup paperSize="9" scale="90" orientation="portrait" r:id="rId1"/>
      <headerFooter alignWithMargins="0">
        <oddHeader>&amp;LDirection de l'instruction publique et de la culture</oddHeader>
      </headerFooter>
    </customSheetView>
  </customSheetViews>
  <mergeCells count="1">
    <mergeCell ref="D1:E1"/>
  </mergeCells>
  <phoneticPr fontId="2"/>
  <dataValidations xWindow="756" yWindow="351" count="8">
    <dataValidation allowBlank="1" showInputMessage="1" showErrorMessage="1" promptTitle="Semaines d'école" prompt="38 ou 39 semaines d'école_x000a_" sqref="C7:E7"/>
    <dataValidation allowBlank="1" showInputMessage="1" showErrorMessage="1" prompt="Remplir seulement si le loyer doit être payé." sqref="C39:E39"/>
    <dataValidation allowBlank="1" showInputMessage="1" showErrorMessage="1" prompt="Prix d'achat chez le traiteur/restaurant" sqref="C28:E28"/>
    <dataValidation allowBlank="1" showInputMessage="1" showErrorMessage="1" prompt="Montant qui est facturé aux parents" sqref="C35:E35"/>
    <dataValidation allowBlank="1" showInputMessage="1" showErrorMessage="1" prompt="Normalement, les coûts des repas du personnel d'encadrement sont pris en charge par l'employeur." sqref="C36:E36"/>
    <dataValidation allowBlank="1" showInputMessage="1" showErrorMessage="1" prompt="Temps de travail annuel moyen du canton de Berne" sqref="C11:E11"/>
    <dataValidation allowBlank="1" showInputMessage="1" showErrorMessage="1" prompt="Seulement valeurs indicatives, voir explications dans la notice d'utilisation sur l'outil de calcul" sqref="C19:E19"/>
    <dataValidation allowBlank="1" showInputMessage="1" showErrorMessage="1" prompt="Montant qui est facturé aux parents" sqref="C34:E34"/>
  </dataValidations>
  <pageMargins left="0.98425196850393704" right="0.59055118110236227" top="0.78740157480314965" bottom="0.59055118110236227" header="0.51181102362204722" footer="0.51181102362204722"/>
  <pageSetup paperSize="9" scale="99" orientation="portrait" r:id="rId2"/>
  <headerFooter alignWithMargins="0">
    <oddHeader>&amp;LDirection de l'instruction publique et de la culture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BE68"/>
  <sheetViews>
    <sheetView zoomScale="200" zoomScaleNormal="98" workbookViewId="0">
      <pane xSplit="1" topLeftCell="AI1" activePane="topRight" state="frozen"/>
      <selection activeCell="A3" sqref="A3"/>
      <selection pane="topRight" activeCell="AP1" sqref="AP1:AS65536"/>
    </sheetView>
  </sheetViews>
  <sheetFormatPr baseColWidth="10" defaultColWidth="10.85546875" defaultRowHeight="12.75"/>
  <cols>
    <col min="1" max="1" width="28.28515625" style="12" customWidth="1"/>
    <col min="2" max="2" width="5.42578125" style="12" customWidth="1"/>
    <col min="3" max="8" width="4.85546875" style="2" customWidth="1"/>
    <col min="9" max="12" width="4.85546875" style="2" hidden="1" customWidth="1"/>
    <col min="13" max="13" width="4.85546875" style="2" customWidth="1"/>
    <col min="14" max="19" width="4.85546875" style="29" customWidth="1"/>
    <col min="20" max="23" width="4.85546875" style="29" hidden="1" customWidth="1"/>
    <col min="24" max="27" width="4.85546875" style="29" customWidth="1"/>
    <col min="28" max="30" width="4.85546875" style="2" customWidth="1"/>
    <col min="31" max="34" width="4.85546875" style="2" hidden="1" customWidth="1"/>
    <col min="35" max="57" width="4.85546875" style="2" customWidth="1"/>
    <col min="58" max="16384" width="10.85546875" style="2"/>
  </cols>
  <sheetData>
    <row r="1" spans="1:57">
      <c r="A1" s="12" t="e">
        <f>'Valeurs de référence'!#REF!</f>
        <v>#REF!</v>
      </c>
    </row>
    <row r="2" spans="1:57" ht="15" customHeight="1">
      <c r="A2" s="12" t="str">
        <f>'Valeurs de référence'!A1</f>
        <v>Calcul des frais d'exploitation d'une école à journée continue dans le canton de Berne</v>
      </c>
    </row>
    <row r="3" spans="1:57" ht="15.75">
      <c r="A3" s="35"/>
      <c r="B3" s="35"/>
    </row>
    <row r="4" spans="1:57" s="1" customFormat="1" ht="15.75">
      <c r="A4" s="35" t="s">
        <v>5</v>
      </c>
      <c r="B4" s="35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6" spans="1:57">
      <c r="A6" s="48" t="s">
        <v>6</v>
      </c>
      <c r="C6" s="39" t="s">
        <v>24</v>
      </c>
      <c r="D6" s="40"/>
      <c r="E6" s="40"/>
      <c r="F6" s="40"/>
      <c r="G6" s="40"/>
      <c r="H6" s="40"/>
      <c r="I6" s="40"/>
      <c r="J6" s="40"/>
      <c r="K6" s="40"/>
      <c r="L6" s="40"/>
      <c r="M6" s="41"/>
      <c r="N6" s="39" t="s">
        <v>20</v>
      </c>
      <c r="O6" s="40"/>
      <c r="P6" s="40"/>
      <c r="Q6" s="40"/>
      <c r="R6" s="40"/>
      <c r="S6" s="40"/>
      <c r="T6" s="40"/>
      <c r="U6" s="40"/>
      <c r="V6" s="40"/>
      <c r="W6" s="40"/>
      <c r="X6" s="41"/>
      <c r="Y6" s="39" t="s">
        <v>21</v>
      </c>
      <c r="Z6" s="40"/>
      <c r="AA6" s="40"/>
      <c r="AB6" s="40"/>
      <c r="AC6" s="40"/>
      <c r="AD6" s="40"/>
      <c r="AE6" s="40"/>
      <c r="AF6" s="40"/>
      <c r="AG6" s="40"/>
      <c r="AH6" s="40"/>
      <c r="AI6" s="41"/>
      <c r="AJ6" s="39" t="s">
        <v>22</v>
      </c>
      <c r="AK6" s="40"/>
      <c r="AL6" s="40"/>
      <c r="AM6" s="40"/>
      <c r="AN6" s="40"/>
      <c r="AO6" s="40"/>
      <c r="AP6" s="40"/>
      <c r="AQ6" s="40"/>
      <c r="AR6" s="40"/>
      <c r="AS6" s="40"/>
      <c r="AT6" s="41"/>
      <c r="AU6" s="39" t="s">
        <v>4</v>
      </c>
      <c r="AV6" s="40"/>
      <c r="AW6" s="40"/>
      <c r="AX6" s="40"/>
      <c r="AY6" s="40"/>
      <c r="AZ6" s="40"/>
      <c r="BA6" s="40"/>
      <c r="BB6" s="40"/>
      <c r="BC6" s="40"/>
      <c r="BD6" s="40"/>
      <c r="BE6" s="41"/>
    </row>
    <row r="7" spans="1:57" s="8" customFormat="1" ht="29.25">
      <c r="A7" s="8" t="s">
        <v>18</v>
      </c>
      <c r="C7" s="44">
        <v>0.29166666666666669</v>
      </c>
      <c r="D7" s="45">
        <v>0.48958333333333331</v>
      </c>
      <c r="E7" s="45">
        <f t="shared" ref="E7:L7" si="0">D8</f>
        <v>0.5625</v>
      </c>
      <c r="F7" s="45">
        <f t="shared" si="0"/>
        <v>0.62847222222222221</v>
      </c>
      <c r="G7" s="45">
        <f t="shared" si="0"/>
        <v>0.67013888888888884</v>
      </c>
      <c r="H7" s="45">
        <f t="shared" si="0"/>
        <v>0.70833333333333337</v>
      </c>
      <c r="I7" s="43">
        <f t="shared" si="0"/>
        <v>0.75</v>
      </c>
      <c r="J7" s="43">
        <f t="shared" si="0"/>
        <v>0.75</v>
      </c>
      <c r="K7" s="43">
        <f t="shared" si="0"/>
        <v>0.75</v>
      </c>
      <c r="L7" s="43">
        <f t="shared" si="0"/>
        <v>0.75</v>
      </c>
      <c r="M7" s="38"/>
      <c r="N7" s="44">
        <v>0.29166666666666669</v>
      </c>
      <c r="O7" s="45">
        <v>0.48958333333333331</v>
      </c>
      <c r="P7" s="45">
        <f t="shared" ref="P7:W7" si="1">O8</f>
        <v>0.5625</v>
      </c>
      <c r="Q7" s="45">
        <f t="shared" si="1"/>
        <v>0.62847222222222221</v>
      </c>
      <c r="R7" s="45">
        <f t="shared" si="1"/>
        <v>0.67013888888888884</v>
      </c>
      <c r="S7" s="45">
        <f t="shared" si="1"/>
        <v>0.70833333333333337</v>
      </c>
      <c r="T7" s="43">
        <f t="shared" si="1"/>
        <v>0.75</v>
      </c>
      <c r="U7" s="43">
        <f t="shared" si="1"/>
        <v>0.75</v>
      </c>
      <c r="V7" s="43">
        <f t="shared" si="1"/>
        <v>0.75</v>
      </c>
      <c r="W7" s="43">
        <f t="shared" si="1"/>
        <v>0.75</v>
      </c>
      <c r="X7" s="38"/>
      <c r="Y7" s="42">
        <v>0.29166666666666669</v>
      </c>
      <c r="Z7" s="43">
        <v>0.48958333333333331</v>
      </c>
      <c r="AA7" s="43">
        <f t="shared" ref="AA7:AH7" si="2">Z8</f>
        <v>0.5625</v>
      </c>
      <c r="AB7" s="43">
        <f t="shared" si="2"/>
        <v>0.62847222222222221</v>
      </c>
      <c r="AC7" s="43">
        <f t="shared" si="2"/>
        <v>0.67013888888888884</v>
      </c>
      <c r="AD7" s="43">
        <f t="shared" si="2"/>
        <v>0.70833333333333337</v>
      </c>
      <c r="AE7" s="43">
        <f t="shared" si="2"/>
        <v>0.75</v>
      </c>
      <c r="AF7" s="43">
        <f t="shared" si="2"/>
        <v>0.75</v>
      </c>
      <c r="AG7" s="43">
        <f t="shared" si="2"/>
        <v>0.75</v>
      </c>
      <c r="AH7" s="43">
        <f t="shared" si="2"/>
        <v>0.75</v>
      </c>
      <c r="AI7" s="38"/>
      <c r="AJ7" s="42">
        <v>0.29166666666666669</v>
      </c>
      <c r="AK7" s="43">
        <v>0.48958333333333331</v>
      </c>
      <c r="AL7" s="43">
        <f t="shared" ref="AL7:AS7" si="3">AK8</f>
        <v>0.5625</v>
      </c>
      <c r="AM7" s="43">
        <f t="shared" si="3"/>
        <v>0.62847222222222221</v>
      </c>
      <c r="AN7" s="43">
        <f t="shared" si="3"/>
        <v>0.67013888888888884</v>
      </c>
      <c r="AO7" s="43">
        <f t="shared" si="3"/>
        <v>0.70833333333333337</v>
      </c>
      <c r="AP7" s="43">
        <f t="shared" si="3"/>
        <v>0.75</v>
      </c>
      <c r="AQ7" s="43">
        <f t="shared" si="3"/>
        <v>0.75</v>
      </c>
      <c r="AR7" s="43">
        <f t="shared" si="3"/>
        <v>0.75</v>
      </c>
      <c r="AS7" s="43">
        <f t="shared" si="3"/>
        <v>0.75</v>
      </c>
      <c r="AT7" s="38"/>
      <c r="AU7" s="42">
        <v>0.29166666666666669</v>
      </c>
      <c r="AV7" s="43">
        <v>0.48958333333333331</v>
      </c>
      <c r="AW7" s="43">
        <f t="shared" ref="AW7:BD7" si="4">AV8</f>
        <v>0.5625</v>
      </c>
      <c r="AX7" s="43">
        <f t="shared" si="4"/>
        <v>0.62847222222222221</v>
      </c>
      <c r="AY7" s="43">
        <f t="shared" si="4"/>
        <v>0.67013888888888884</v>
      </c>
      <c r="AZ7" s="43">
        <f t="shared" si="4"/>
        <v>0.70833333333333337</v>
      </c>
      <c r="BA7" s="43">
        <f t="shared" si="4"/>
        <v>0.75</v>
      </c>
      <c r="BB7" s="43">
        <f t="shared" si="4"/>
        <v>0.75</v>
      </c>
      <c r="BC7" s="43">
        <f t="shared" si="4"/>
        <v>0.75</v>
      </c>
      <c r="BD7" s="43">
        <f t="shared" si="4"/>
        <v>0.75</v>
      </c>
      <c r="BE7" s="38"/>
    </row>
    <row r="8" spans="1:57" s="8" customFormat="1" ht="29.25">
      <c r="A8" s="8" t="s">
        <v>19</v>
      </c>
      <c r="C8" s="44">
        <v>0.33333333333333331</v>
      </c>
      <c r="D8" s="45">
        <v>0.5625</v>
      </c>
      <c r="E8" s="45">
        <v>0.62847222222222221</v>
      </c>
      <c r="F8" s="45">
        <v>0.67013888888888884</v>
      </c>
      <c r="G8" s="45">
        <v>0.70833333333333337</v>
      </c>
      <c r="H8" s="45">
        <v>0.75</v>
      </c>
      <c r="I8" s="43">
        <v>0.75</v>
      </c>
      <c r="J8" s="43">
        <v>0.75</v>
      </c>
      <c r="K8" s="43">
        <v>0.75</v>
      </c>
      <c r="L8" s="43">
        <v>0.75</v>
      </c>
      <c r="M8" s="38"/>
      <c r="N8" s="44">
        <v>0.33333333333333331</v>
      </c>
      <c r="O8" s="45">
        <v>0.5625</v>
      </c>
      <c r="P8" s="45">
        <v>0.62847222222222221</v>
      </c>
      <c r="Q8" s="45">
        <v>0.67013888888888884</v>
      </c>
      <c r="R8" s="45">
        <v>0.70833333333333337</v>
      </c>
      <c r="S8" s="45">
        <v>0.75</v>
      </c>
      <c r="T8" s="43">
        <v>0.75</v>
      </c>
      <c r="U8" s="43">
        <v>0.75</v>
      </c>
      <c r="V8" s="43">
        <v>0.75</v>
      </c>
      <c r="W8" s="43">
        <v>0.75</v>
      </c>
      <c r="X8" s="38"/>
      <c r="Y8" s="42">
        <v>0.33333333333333331</v>
      </c>
      <c r="Z8" s="43">
        <v>0.5625</v>
      </c>
      <c r="AA8" s="43">
        <v>0.62847222222222221</v>
      </c>
      <c r="AB8" s="43">
        <v>0.67013888888888884</v>
      </c>
      <c r="AC8" s="43">
        <v>0.70833333333333337</v>
      </c>
      <c r="AD8" s="43">
        <v>0.75</v>
      </c>
      <c r="AE8" s="43">
        <v>0.75</v>
      </c>
      <c r="AF8" s="43">
        <v>0.75</v>
      </c>
      <c r="AG8" s="43">
        <v>0.75</v>
      </c>
      <c r="AH8" s="43">
        <v>0.75</v>
      </c>
      <c r="AI8" s="38"/>
      <c r="AJ8" s="42">
        <v>0.33333333333333331</v>
      </c>
      <c r="AK8" s="43">
        <v>0.5625</v>
      </c>
      <c r="AL8" s="43">
        <v>0.62847222222222221</v>
      </c>
      <c r="AM8" s="43">
        <v>0.67013888888888884</v>
      </c>
      <c r="AN8" s="43">
        <v>0.70833333333333337</v>
      </c>
      <c r="AO8" s="43">
        <v>0.75</v>
      </c>
      <c r="AP8" s="43">
        <v>0.75</v>
      </c>
      <c r="AQ8" s="43">
        <v>0.75</v>
      </c>
      <c r="AR8" s="43">
        <v>0.75</v>
      </c>
      <c r="AS8" s="43">
        <v>0.75</v>
      </c>
      <c r="AT8" s="38"/>
      <c r="AU8" s="42">
        <v>0.33333333333333331</v>
      </c>
      <c r="AV8" s="43">
        <v>0.5625</v>
      </c>
      <c r="AW8" s="43">
        <v>0.62847222222222221</v>
      </c>
      <c r="AX8" s="43">
        <v>0.67013888888888884</v>
      </c>
      <c r="AY8" s="43">
        <v>0.70833333333333337</v>
      </c>
      <c r="AZ8" s="43">
        <v>0.75</v>
      </c>
      <c r="BA8" s="43">
        <v>0.75</v>
      </c>
      <c r="BB8" s="43">
        <v>0.75</v>
      </c>
      <c r="BC8" s="43">
        <v>0.75</v>
      </c>
      <c r="BD8" s="43">
        <v>0.75</v>
      </c>
      <c r="BE8" s="38"/>
    </row>
    <row r="9" spans="1:57" s="29" customFormat="1">
      <c r="A9" s="2"/>
    </row>
    <row r="10" spans="1:57" s="29" customFormat="1" ht="26.1" customHeight="1">
      <c r="A10" s="2" t="s">
        <v>7</v>
      </c>
      <c r="C10" s="50">
        <v>7</v>
      </c>
      <c r="D10" s="50">
        <v>20</v>
      </c>
      <c r="E10" s="50"/>
      <c r="F10" s="50"/>
      <c r="G10" s="50"/>
      <c r="H10" s="50"/>
      <c r="I10" s="50"/>
      <c r="J10" s="50"/>
      <c r="K10" s="50"/>
      <c r="L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</row>
    <row r="11" spans="1:57" s="29" customFormat="1" ht="20.100000000000001" customHeight="1">
      <c r="A11" s="2"/>
    </row>
    <row r="12" spans="1:57" s="29" customFormat="1" ht="20.100000000000001" customHeight="1">
      <c r="A12" s="3" t="s">
        <v>8</v>
      </c>
    </row>
    <row r="13" spans="1:57" s="29" customFormat="1">
      <c r="A13" s="3" t="s">
        <v>10</v>
      </c>
    </row>
    <row r="14" spans="1:57" s="29" customFormat="1">
      <c r="A14" s="2" t="s">
        <v>11</v>
      </c>
      <c r="B14" s="51">
        <v>0.4</v>
      </c>
      <c r="C14" s="49">
        <f t="shared" ref="C14:L14" si="5">$B14</f>
        <v>0.4</v>
      </c>
      <c r="D14" s="49">
        <f t="shared" si="5"/>
        <v>0.4</v>
      </c>
      <c r="E14" s="49">
        <f t="shared" si="5"/>
        <v>0.4</v>
      </c>
      <c r="F14" s="49">
        <f t="shared" si="5"/>
        <v>0.4</v>
      </c>
      <c r="G14" s="49">
        <f t="shared" si="5"/>
        <v>0.4</v>
      </c>
      <c r="H14" s="49">
        <f t="shared" si="5"/>
        <v>0.4</v>
      </c>
      <c r="I14" s="49">
        <f t="shared" si="5"/>
        <v>0.4</v>
      </c>
      <c r="J14" s="49">
        <f t="shared" si="5"/>
        <v>0.4</v>
      </c>
      <c r="K14" s="49">
        <f t="shared" si="5"/>
        <v>0.4</v>
      </c>
      <c r="L14" s="49">
        <f t="shared" si="5"/>
        <v>0.4</v>
      </c>
      <c r="M14" s="49"/>
      <c r="N14" s="49">
        <f t="shared" ref="N14:W14" si="6">$B14</f>
        <v>0.4</v>
      </c>
      <c r="O14" s="49">
        <f t="shared" si="6"/>
        <v>0.4</v>
      </c>
      <c r="P14" s="49">
        <f t="shared" si="6"/>
        <v>0.4</v>
      </c>
      <c r="Q14" s="49">
        <f t="shared" si="6"/>
        <v>0.4</v>
      </c>
      <c r="R14" s="49">
        <f t="shared" si="6"/>
        <v>0.4</v>
      </c>
      <c r="S14" s="49">
        <f t="shared" si="6"/>
        <v>0.4</v>
      </c>
      <c r="T14" s="49">
        <f t="shared" si="6"/>
        <v>0.4</v>
      </c>
      <c r="U14" s="49">
        <f t="shared" si="6"/>
        <v>0.4</v>
      </c>
      <c r="V14" s="49">
        <f t="shared" si="6"/>
        <v>0.4</v>
      </c>
      <c r="W14" s="49">
        <f t="shared" si="6"/>
        <v>0.4</v>
      </c>
      <c r="X14" s="49"/>
      <c r="Y14" s="49">
        <f t="shared" ref="Y14:AH14" si="7">$B14</f>
        <v>0.4</v>
      </c>
      <c r="Z14" s="49">
        <f t="shared" si="7"/>
        <v>0.4</v>
      </c>
      <c r="AA14" s="49">
        <f t="shared" si="7"/>
        <v>0.4</v>
      </c>
      <c r="AB14" s="49">
        <f t="shared" si="7"/>
        <v>0.4</v>
      </c>
      <c r="AC14" s="49">
        <f t="shared" si="7"/>
        <v>0.4</v>
      </c>
      <c r="AD14" s="49">
        <f t="shared" si="7"/>
        <v>0.4</v>
      </c>
      <c r="AE14" s="49">
        <f t="shared" si="7"/>
        <v>0.4</v>
      </c>
      <c r="AF14" s="49">
        <f t="shared" si="7"/>
        <v>0.4</v>
      </c>
      <c r="AG14" s="49">
        <f t="shared" si="7"/>
        <v>0.4</v>
      </c>
      <c r="AH14" s="49">
        <f t="shared" si="7"/>
        <v>0.4</v>
      </c>
      <c r="AI14" s="49"/>
      <c r="AJ14" s="49">
        <f t="shared" ref="AJ14:AS14" si="8">$B14</f>
        <v>0.4</v>
      </c>
      <c r="AK14" s="49">
        <f t="shared" si="8"/>
        <v>0.4</v>
      </c>
      <c r="AL14" s="49">
        <f t="shared" si="8"/>
        <v>0.4</v>
      </c>
      <c r="AM14" s="49">
        <f t="shared" si="8"/>
        <v>0.4</v>
      </c>
      <c r="AN14" s="49">
        <f t="shared" si="8"/>
        <v>0.4</v>
      </c>
      <c r="AO14" s="49">
        <f t="shared" si="8"/>
        <v>0.4</v>
      </c>
      <c r="AP14" s="49">
        <f t="shared" si="8"/>
        <v>0.4</v>
      </c>
      <c r="AQ14" s="49">
        <f t="shared" si="8"/>
        <v>0.4</v>
      </c>
      <c r="AR14" s="49">
        <f t="shared" si="8"/>
        <v>0.4</v>
      </c>
      <c r="AS14" s="49">
        <f t="shared" si="8"/>
        <v>0.4</v>
      </c>
      <c r="AT14" s="49"/>
      <c r="AU14" s="49">
        <f t="shared" ref="AU14:BD14" si="9">$B14</f>
        <v>0.4</v>
      </c>
      <c r="AV14" s="49">
        <f t="shared" si="9"/>
        <v>0.4</v>
      </c>
      <c r="AW14" s="49">
        <f t="shared" si="9"/>
        <v>0.4</v>
      </c>
      <c r="AX14" s="49">
        <f t="shared" si="9"/>
        <v>0.4</v>
      </c>
      <c r="AY14" s="49">
        <f t="shared" si="9"/>
        <v>0.4</v>
      </c>
      <c r="AZ14" s="49">
        <f t="shared" si="9"/>
        <v>0.4</v>
      </c>
      <c r="BA14" s="49">
        <f t="shared" si="9"/>
        <v>0.4</v>
      </c>
      <c r="BB14" s="49">
        <f t="shared" si="9"/>
        <v>0.4</v>
      </c>
      <c r="BC14" s="49">
        <f t="shared" si="9"/>
        <v>0.4</v>
      </c>
      <c r="BD14" s="49">
        <f t="shared" si="9"/>
        <v>0.4</v>
      </c>
    </row>
    <row r="15" spans="1:57" s="29" customFormat="1">
      <c r="A15" s="2" t="s">
        <v>12</v>
      </c>
      <c r="C15" s="29">
        <f>ROUNDDOWN(C$10*C14,0)</f>
        <v>2</v>
      </c>
      <c r="D15" s="29">
        <f t="shared" ref="D15:L15" si="10">ROUNDDOWN(D$10*D14,0)</f>
        <v>8</v>
      </c>
      <c r="E15" s="29">
        <f t="shared" si="10"/>
        <v>0</v>
      </c>
      <c r="F15" s="29">
        <f t="shared" si="10"/>
        <v>0</v>
      </c>
      <c r="G15" s="29">
        <f t="shared" si="10"/>
        <v>0</v>
      </c>
      <c r="H15" s="29">
        <f t="shared" si="10"/>
        <v>0</v>
      </c>
      <c r="I15" s="29">
        <f t="shared" si="10"/>
        <v>0</v>
      </c>
      <c r="J15" s="29">
        <f t="shared" si="10"/>
        <v>0</v>
      </c>
      <c r="K15" s="29">
        <f t="shared" si="10"/>
        <v>0</v>
      </c>
      <c r="L15" s="29">
        <f t="shared" si="10"/>
        <v>0</v>
      </c>
      <c r="N15" s="29">
        <f t="shared" ref="N15:W15" si="11">ROUNDDOWN(N$10*N14,0)</f>
        <v>0</v>
      </c>
      <c r="O15" s="29">
        <f t="shared" si="11"/>
        <v>0</v>
      </c>
      <c r="P15" s="29">
        <f t="shared" si="11"/>
        <v>0</v>
      </c>
      <c r="Q15" s="29">
        <f t="shared" si="11"/>
        <v>0</v>
      </c>
      <c r="R15" s="29">
        <f t="shared" si="11"/>
        <v>0</v>
      </c>
      <c r="S15" s="29">
        <f t="shared" si="11"/>
        <v>0</v>
      </c>
      <c r="T15" s="29">
        <f t="shared" si="11"/>
        <v>0</v>
      </c>
      <c r="U15" s="29">
        <f t="shared" si="11"/>
        <v>0</v>
      </c>
      <c r="V15" s="29">
        <f t="shared" si="11"/>
        <v>0</v>
      </c>
      <c r="W15" s="29">
        <f t="shared" si="11"/>
        <v>0</v>
      </c>
      <c r="Y15" s="29">
        <f t="shared" ref="Y15:AH15" si="12">ROUNDDOWN(Y$10*Y14,0)</f>
        <v>0</v>
      </c>
      <c r="Z15" s="29">
        <f t="shared" si="12"/>
        <v>0</v>
      </c>
      <c r="AA15" s="29">
        <f t="shared" si="12"/>
        <v>0</v>
      </c>
      <c r="AB15" s="29">
        <f t="shared" si="12"/>
        <v>0</v>
      </c>
      <c r="AC15" s="29">
        <f t="shared" si="12"/>
        <v>0</v>
      </c>
      <c r="AD15" s="29">
        <f t="shared" si="12"/>
        <v>0</v>
      </c>
      <c r="AE15" s="29">
        <f t="shared" si="12"/>
        <v>0</v>
      </c>
      <c r="AF15" s="29">
        <f t="shared" si="12"/>
        <v>0</v>
      </c>
      <c r="AG15" s="29">
        <f t="shared" si="12"/>
        <v>0</v>
      </c>
      <c r="AH15" s="29">
        <f t="shared" si="12"/>
        <v>0</v>
      </c>
      <c r="AJ15" s="29">
        <f t="shared" ref="AJ15:AS15" si="13">ROUNDDOWN(AJ$10*AJ14,0)</f>
        <v>0</v>
      </c>
      <c r="AK15" s="29">
        <f t="shared" si="13"/>
        <v>0</v>
      </c>
      <c r="AL15" s="29">
        <f t="shared" si="13"/>
        <v>0</v>
      </c>
      <c r="AM15" s="29">
        <f t="shared" si="13"/>
        <v>0</v>
      </c>
      <c r="AN15" s="29">
        <f t="shared" si="13"/>
        <v>0</v>
      </c>
      <c r="AO15" s="29">
        <f t="shared" si="13"/>
        <v>0</v>
      </c>
      <c r="AP15" s="29">
        <f t="shared" si="13"/>
        <v>0</v>
      </c>
      <c r="AQ15" s="29">
        <f t="shared" si="13"/>
        <v>0</v>
      </c>
      <c r="AR15" s="29">
        <f t="shared" si="13"/>
        <v>0</v>
      </c>
      <c r="AS15" s="29">
        <f t="shared" si="13"/>
        <v>0</v>
      </c>
      <c r="AU15" s="29">
        <f t="shared" ref="AU15:BD15" si="14">ROUNDDOWN(AU$10*AU14,0)</f>
        <v>0</v>
      </c>
      <c r="AV15" s="29">
        <f t="shared" si="14"/>
        <v>0</v>
      </c>
      <c r="AW15" s="29">
        <f t="shared" si="14"/>
        <v>0</v>
      </c>
      <c r="AX15" s="29">
        <f t="shared" si="14"/>
        <v>0</v>
      </c>
      <c r="AY15" s="29">
        <f t="shared" si="14"/>
        <v>0</v>
      </c>
      <c r="AZ15" s="29">
        <f t="shared" si="14"/>
        <v>0</v>
      </c>
      <c r="BA15" s="29">
        <f t="shared" si="14"/>
        <v>0</v>
      </c>
      <c r="BB15" s="29">
        <f t="shared" si="14"/>
        <v>0</v>
      </c>
      <c r="BC15" s="29">
        <f t="shared" si="14"/>
        <v>0</v>
      </c>
      <c r="BD15" s="29">
        <f t="shared" si="14"/>
        <v>0</v>
      </c>
    </row>
    <row r="16" spans="1:57" s="29" customFormat="1">
      <c r="A16" s="2" t="s">
        <v>15</v>
      </c>
      <c r="B16" s="51">
        <v>0.7</v>
      </c>
      <c r="C16" s="49">
        <f t="shared" ref="C16:L16" si="15">$B16</f>
        <v>0.7</v>
      </c>
      <c r="D16" s="49">
        <f t="shared" si="15"/>
        <v>0.7</v>
      </c>
      <c r="E16" s="49">
        <f t="shared" si="15"/>
        <v>0.7</v>
      </c>
      <c r="F16" s="49">
        <f t="shared" si="15"/>
        <v>0.7</v>
      </c>
      <c r="G16" s="49">
        <f t="shared" si="15"/>
        <v>0.7</v>
      </c>
      <c r="H16" s="49">
        <f t="shared" si="15"/>
        <v>0.7</v>
      </c>
      <c r="I16" s="49">
        <f t="shared" si="15"/>
        <v>0.7</v>
      </c>
      <c r="J16" s="49">
        <f t="shared" si="15"/>
        <v>0.7</v>
      </c>
      <c r="K16" s="49">
        <f t="shared" si="15"/>
        <v>0.7</v>
      </c>
      <c r="L16" s="49">
        <f t="shared" si="15"/>
        <v>0.7</v>
      </c>
      <c r="M16" s="49"/>
      <c r="N16" s="49">
        <f t="shared" ref="N16:W16" si="16">$B16</f>
        <v>0.7</v>
      </c>
      <c r="O16" s="49">
        <f t="shared" si="16"/>
        <v>0.7</v>
      </c>
      <c r="P16" s="49">
        <f t="shared" si="16"/>
        <v>0.7</v>
      </c>
      <c r="Q16" s="49">
        <f t="shared" si="16"/>
        <v>0.7</v>
      </c>
      <c r="R16" s="49">
        <f t="shared" si="16"/>
        <v>0.7</v>
      </c>
      <c r="S16" s="49">
        <f t="shared" si="16"/>
        <v>0.7</v>
      </c>
      <c r="T16" s="49">
        <f t="shared" si="16"/>
        <v>0.7</v>
      </c>
      <c r="U16" s="49">
        <f t="shared" si="16"/>
        <v>0.7</v>
      </c>
      <c r="V16" s="49">
        <f t="shared" si="16"/>
        <v>0.7</v>
      </c>
      <c r="W16" s="49">
        <f t="shared" si="16"/>
        <v>0.7</v>
      </c>
      <c r="X16" s="49"/>
      <c r="Y16" s="49">
        <f t="shared" ref="Y16:AH16" si="17">$B16</f>
        <v>0.7</v>
      </c>
      <c r="Z16" s="49">
        <f t="shared" si="17"/>
        <v>0.7</v>
      </c>
      <c r="AA16" s="49">
        <f t="shared" si="17"/>
        <v>0.7</v>
      </c>
      <c r="AB16" s="49">
        <f t="shared" si="17"/>
        <v>0.7</v>
      </c>
      <c r="AC16" s="49">
        <f t="shared" si="17"/>
        <v>0.7</v>
      </c>
      <c r="AD16" s="49">
        <f t="shared" si="17"/>
        <v>0.7</v>
      </c>
      <c r="AE16" s="49">
        <f t="shared" si="17"/>
        <v>0.7</v>
      </c>
      <c r="AF16" s="49">
        <f t="shared" si="17"/>
        <v>0.7</v>
      </c>
      <c r="AG16" s="49">
        <f t="shared" si="17"/>
        <v>0.7</v>
      </c>
      <c r="AH16" s="49">
        <f t="shared" si="17"/>
        <v>0.7</v>
      </c>
      <c r="AI16" s="49"/>
      <c r="AJ16" s="49">
        <f t="shared" ref="AJ16:AS16" si="18">$B16</f>
        <v>0.7</v>
      </c>
      <c r="AK16" s="49">
        <f t="shared" si="18"/>
        <v>0.7</v>
      </c>
      <c r="AL16" s="49">
        <f t="shared" si="18"/>
        <v>0.7</v>
      </c>
      <c r="AM16" s="49">
        <f t="shared" si="18"/>
        <v>0.7</v>
      </c>
      <c r="AN16" s="49">
        <f t="shared" si="18"/>
        <v>0.7</v>
      </c>
      <c r="AO16" s="49">
        <f t="shared" si="18"/>
        <v>0.7</v>
      </c>
      <c r="AP16" s="49">
        <f t="shared" si="18"/>
        <v>0.7</v>
      </c>
      <c r="AQ16" s="49">
        <f t="shared" si="18"/>
        <v>0.7</v>
      </c>
      <c r="AR16" s="49">
        <f t="shared" si="18"/>
        <v>0.7</v>
      </c>
      <c r="AS16" s="49">
        <f t="shared" si="18"/>
        <v>0.7</v>
      </c>
      <c r="AT16" s="49"/>
      <c r="AU16" s="49">
        <f t="shared" ref="AU16:BD16" si="19">$B16</f>
        <v>0.7</v>
      </c>
      <c r="AV16" s="49">
        <f t="shared" si="19"/>
        <v>0.7</v>
      </c>
      <c r="AW16" s="49">
        <f t="shared" si="19"/>
        <v>0.7</v>
      </c>
      <c r="AX16" s="49">
        <f t="shared" si="19"/>
        <v>0.7</v>
      </c>
      <c r="AY16" s="49">
        <f t="shared" si="19"/>
        <v>0.7</v>
      </c>
      <c r="AZ16" s="49">
        <f t="shared" si="19"/>
        <v>0.7</v>
      </c>
      <c r="BA16" s="49">
        <f t="shared" si="19"/>
        <v>0.7</v>
      </c>
      <c r="BB16" s="49">
        <f t="shared" si="19"/>
        <v>0.7</v>
      </c>
      <c r="BC16" s="49">
        <f t="shared" si="19"/>
        <v>0.7</v>
      </c>
      <c r="BD16" s="49">
        <f t="shared" si="19"/>
        <v>0.7</v>
      </c>
    </row>
    <row r="17" spans="1:56" s="29" customFormat="1">
      <c r="A17" s="2" t="s">
        <v>13</v>
      </c>
      <c r="C17" s="29">
        <f t="shared" ref="C17:L17" si="20">ROUNDDOWN(C$10*C16,0)</f>
        <v>4</v>
      </c>
      <c r="D17" s="29">
        <f t="shared" si="20"/>
        <v>14</v>
      </c>
      <c r="E17" s="29">
        <f t="shared" si="20"/>
        <v>0</v>
      </c>
      <c r="F17" s="29">
        <f t="shared" si="20"/>
        <v>0</v>
      </c>
      <c r="G17" s="29">
        <f t="shared" si="20"/>
        <v>0</v>
      </c>
      <c r="H17" s="29">
        <f t="shared" si="20"/>
        <v>0</v>
      </c>
      <c r="I17" s="29">
        <f t="shared" si="20"/>
        <v>0</v>
      </c>
      <c r="J17" s="29">
        <f t="shared" si="20"/>
        <v>0</v>
      </c>
      <c r="K17" s="29">
        <f t="shared" si="20"/>
        <v>0</v>
      </c>
      <c r="L17" s="29">
        <f t="shared" si="20"/>
        <v>0</v>
      </c>
      <c r="N17" s="29">
        <f t="shared" ref="N17:W17" si="21">ROUNDDOWN(N$10*N16,0)</f>
        <v>0</v>
      </c>
      <c r="O17" s="29">
        <f t="shared" si="21"/>
        <v>0</v>
      </c>
      <c r="P17" s="29">
        <f t="shared" si="21"/>
        <v>0</v>
      </c>
      <c r="Q17" s="29">
        <f t="shared" si="21"/>
        <v>0</v>
      </c>
      <c r="R17" s="29">
        <f t="shared" si="21"/>
        <v>0</v>
      </c>
      <c r="S17" s="29">
        <f t="shared" si="21"/>
        <v>0</v>
      </c>
      <c r="T17" s="29">
        <f t="shared" si="21"/>
        <v>0</v>
      </c>
      <c r="U17" s="29">
        <f t="shared" si="21"/>
        <v>0</v>
      </c>
      <c r="V17" s="29">
        <f t="shared" si="21"/>
        <v>0</v>
      </c>
      <c r="W17" s="29">
        <f t="shared" si="21"/>
        <v>0</v>
      </c>
      <c r="Y17" s="29">
        <f t="shared" ref="Y17:AH17" si="22">ROUNDDOWN(Y$10*Y16,0)</f>
        <v>0</v>
      </c>
      <c r="Z17" s="29">
        <f t="shared" si="22"/>
        <v>0</v>
      </c>
      <c r="AA17" s="29">
        <f t="shared" si="22"/>
        <v>0</v>
      </c>
      <c r="AB17" s="29">
        <f t="shared" si="22"/>
        <v>0</v>
      </c>
      <c r="AC17" s="29">
        <f t="shared" si="22"/>
        <v>0</v>
      </c>
      <c r="AD17" s="29">
        <f t="shared" si="22"/>
        <v>0</v>
      </c>
      <c r="AE17" s="29">
        <f t="shared" si="22"/>
        <v>0</v>
      </c>
      <c r="AF17" s="29">
        <f t="shared" si="22"/>
        <v>0</v>
      </c>
      <c r="AG17" s="29">
        <f t="shared" si="22"/>
        <v>0</v>
      </c>
      <c r="AH17" s="29">
        <f t="shared" si="22"/>
        <v>0</v>
      </c>
      <c r="AJ17" s="29">
        <f t="shared" ref="AJ17:AS17" si="23">ROUNDDOWN(AJ$10*AJ16,0)</f>
        <v>0</v>
      </c>
      <c r="AK17" s="29">
        <f t="shared" si="23"/>
        <v>0</v>
      </c>
      <c r="AL17" s="29">
        <f t="shared" si="23"/>
        <v>0</v>
      </c>
      <c r="AM17" s="29">
        <f t="shared" si="23"/>
        <v>0</v>
      </c>
      <c r="AN17" s="29">
        <f t="shared" si="23"/>
        <v>0</v>
      </c>
      <c r="AO17" s="29">
        <f t="shared" si="23"/>
        <v>0</v>
      </c>
      <c r="AP17" s="29">
        <f t="shared" si="23"/>
        <v>0</v>
      </c>
      <c r="AQ17" s="29">
        <f t="shared" si="23"/>
        <v>0</v>
      </c>
      <c r="AR17" s="29">
        <f t="shared" si="23"/>
        <v>0</v>
      </c>
      <c r="AS17" s="29">
        <f t="shared" si="23"/>
        <v>0</v>
      </c>
      <c r="AU17" s="29">
        <f t="shared" ref="AU17:BD17" si="24">ROUNDDOWN(AU$10*AU16,0)</f>
        <v>0</v>
      </c>
      <c r="AV17" s="29">
        <f t="shared" si="24"/>
        <v>0</v>
      </c>
      <c r="AW17" s="29">
        <f t="shared" si="24"/>
        <v>0</v>
      </c>
      <c r="AX17" s="29">
        <f t="shared" si="24"/>
        <v>0</v>
      </c>
      <c r="AY17" s="29">
        <f t="shared" si="24"/>
        <v>0</v>
      </c>
      <c r="AZ17" s="29">
        <f t="shared" si="24"/>
        <v>0</v>
      </c>
      <c r="BA17" s="29">
        <f t="shared" si="24"/>
        <v>0</v>
      </c>
      <c r="BB17" s="29">
        <f t="shared" si="24"/>
        <v>0</v>
      </c>
      <c r="BC17" s="29">
        <f t="shared" si="24"/>
        <v>0</v>
      </c>
      <c r="BD17" s="29">
        <f t="shared" si="24"/>
        <v>0</v>
      </c>
    </row>
    <row r="18" spans="1:56" s="29" customFormat="1">
      <c r="A18" s="2" t="s">
        <v>16</v>
      </c>
      <c r="B18" s="51">
        <v>1</v>
      </c>
      <c r="C18" s="49">
        <f>$B18</f>
        <v>1</v>
      </c>
      <c r="D18" s="49">
        <f t="shared" ref="D18:BD18" si="25">$B18</f>
        <v>1</v>
      </c>
      <c r="E18" s="49">
        <f t="shared" si="25"/>
        <v>1</v>
      </c>
      <c r="F18" s="49">
        <f t="shared" si="25"/>
        <v>1</v>
      </c>
      <c r="G18" s="49">
        <f t="shared" si="25"/>
        <v>1</v>
      </c>
      <c r="H18" s="49">
        <f t="shared" si="25"/>
        <v>1</v>
      </c>
      <c r="I18" s="49">
        <f t="shared" si="25"/>
        <v>1</v>
      </c>
      <c r="J18" s="49">
        <f t="shared" si="25"/>
        <v>1</v>
      </c>
      <c r="K18" s="49">
        <f t="shared" si="25"/>
        <v>1</v>
      </c>
      <c r="L18" s="49">
        <f t="shared" si="25"/>
        <v>1</v>
      </c>
      <c r="M18" s="49"/>
      <c r="N18" s="49">
        <f t="shared" si="25"/>
        <v>1</v>
      </c>
      <c r="O18" s="49">
        <f t="shared" si="25"/>
        <v>1</v>
      </c>
      <c r="P18" s="49">
        <f t="shared" si="25"/>
        <v>1</v>
      </c>
      <c r="Q18" s="49">
        <f t="shared" si="25"/>
        <v>1</v>
      </c>
      <c r="R18" s="49">
        <f t="shared" si="25"/>
        <v>1</v>
      </c>
      <c r="S18" s="49">
        <f t="shared" si="25"/>
        <v>1</v>
      </c>
      <c r="T18" s="49">
        <f t="shared" si="25"/>
        <v>1</v>
      </c>
      <c r="U18" s="49">
        <f t="shared" si="25"/>
        <v>1</v>
      </c>
      <c r="V18" s="49">
        <f t="shared" si="25"/>
        <v>1</v>
      </c>
      <c r="W18" s="49">
        <f t="shared" si="25"/>
        <v>1</v>
      </c>
      <c r="X18" s="49"/>
      <c r="Y18" s="49">
        <f t="shared" si="25"/>
        <v>1</v>
      </c>
      <c r="Z18" s="49">
        <f t="shared" si="25"/>
        <v>1</v>
      </c>
      <c r="AA18" s="49">
        <f t="shared" si="25"/>
        <v>1</v>
      </c>
      <c r="AB18" s="49">
        <f t="shared" si="25"/>
        <v>1</v>
      </c>
      <c r="AC18" s="49">
        <f t="shared" si="25"/>
        <v>1</v>
      </c>
      <c r="AD18" s="49">
        <f t="shared" si="25"/>
        <v>1</v>
      </c>
      <c r="AE18" s="49">
        <f t="shared" si="25"/>
        <v>1</v>
      </c>
      <c r="AF18" s="49">
        <f t="shared" si="25"/>
        <v>1</v>
      </c>
      <c r="AG18" s="49">
        <f t="shared" si="25"/>
        <v>1</v>
      </c>
      <c r="AH18" s="49">
        <f t="shared" si="25"/>
        <v>1</v>
      </c>
      <c r="AI18" s="49"/>
      <c r="AJ18" s="49">
        <f t="shared" si="25"/>
        <v>1</v>
      </c>
      <c r="AK18" s="49">
        <f t="shared" si="25"/>
        <v>1</v>
      </c>
      <c r="AL18" s="49">
        <f t="shared" si="25"/>
        <v>1</v>
      </c>
      <c r="AM18" s="49">
        <f t="shared" si="25"/>
        <v>1</v>
      </c>
      <c r="AN18" s="49">
        <f t="shared" si="25"/>
        <v>1</v>
      </c>
      <c r="AO18" s="49">
        <f t="shared" si="25"/>
        <v>1</v>
      </c>
      <c r="AP18" s="49">
        <f t="shared" si="25"/>
        <v>1</v>
      </c>
      <c r="AQ18" s="49">
        <f t="shared" si="25"/>
        <v>1</v>
      </c>
      <c r="AR18" s="49">
        <f t="shared" si="25"/>
        <v>1</v>
      </c>
      <c r="AS18" s="49">
        <f t="shared" si="25"/>
        <v>1</v>
      </c>
      <c r="AT18" s="49"/>
      <c r="AU18" s="49">
        <f t="shared" si="25"/>
        <v>1</v>
      </c>
      <c r="AV18" s="49">
        <f t="shared" si="25"/>
        <v>1</v>
      </c>
      <c r="AW18" s="49">
        <f t="shared" si="25"/>
        <v>1</v>
      </c>
      <c r="AX18" s="49">
        <f t="shared" si="25"/>
        <v>1</v>
      </c>
      <c r="AY18" s="49">
        <f t="shared" si="25"/>
        <v>1</v>
      </c>
      <c r="AZ18" s="49">
        <f t="shared" si="25"/>
        <v>1</v>
      </c>
      <c r="BA18" s="49">
        <f t="shared" si="25"/>
        <v>1</v>
      </c>
      <c r="BB18" s="49">
        <f t="shared" si="25"/>
        <v>1</v>
      </c>
      <c r="BC18" s="49">
        <f t="shared" si="25"/>
        <v>1</v>
      </c>
      <c r="BD18" s="49">
        <f t="shared" si="25"/>
        <v>1</v>
      </c>
    </row>
    <row r="19" spans="1:56" s="29" customFormat="1">
      <c r="A19" s="2" t="s">
        <v>14</v>
      </c>
      <c r="C19" s="29">
        <f t="shared" ref="C19:L19" si="26">ROUNDDOWN(C$10*C18,0)</f>
        <v>7</v>
      </c>
      <c r="D19" s="29">
        <f t="shared" si="26"/>
        <v>20</v>
      </c>
      <c r="E19" s="29">
        <f t="shared" si="26"/>
        <v>0</v>
      </c>
      <c r="F19" s="29">
        <f t="shared" si="26"/>
        <v>0</v>
      </c>
      <c r="G19" s="29">
        <f t="shared" si="26"/>
        <v>0</v>
      </c>
      <c r="H19" s="29">
        <f t="shared" si="26"/>
        <v>0</v>
      </c>
      <c r="I19" s="29">
        <f t="shared" si="26"/>
        <v>0</v>
      </c>
      <c r="J19" s="29">
        <f t="shared" si="26"/>
        <v>0</v>
      </c>
      <c r="K19" s="29">
        <f t="shared" si="26"/>
        <v>0</v>
      </c>
      <c r="L19" s="29">
        <f t="shared" si="26"/>
        <v>0</v>
      </c>
      <c r="N19" s="29">
        <f t="shared" ref="N19:W19" si="27">ROUNDDOWN(N$10*N18,0)</f>
        <v>0</v>
      </c>
      <c r="O19" s="29">
        <f t="shared" si="27"/>
        <v>0</v>
      </c>
      <c r="P19" s="29">
        <f t="shared" si="27"/>
        <v>0</v>
      </c>
      <c r="Q19" s="29">
        <f t="shared" si="27"/>
        <v>0</v>
      </c>
      <c r="R19" s="29">
        <f t="shared" si="27"/>
        <v>0</v>
      </c>
      <c r="S19" s="29">
        <f t="shared" si="27"/>
        <v>0</v>
      </c>
      <c r="T19" s="29">
        <f t="shared" si="27"/>
        <v>0</v>
      </c>
      <c r="U19" s="29">
        <f t="shared" si="27"/>
        <v>0</v>
      </c>
      <c r="V19" s="29">
        <f t="shared" si="27"/>
        <v>0</v>
      </c>
      <c r="W19" s="29">
        <f t="shared" si="27"/>
        <v>0</v>
      </c>
      <c r="Y19" s="29">
        <f t="shared" ref="Y19:AH19" si="28">ROUNDDOWN(Y$10*Y18,0)</f>
        <v>0</v>
      </c>
      <c r="Z19" s="29">
        <f t="shared" si="28"/>
        <v>0</v>
      </c>
      <c r="AA19" s="29">
        <f t="shared" si="28"/>
        <v>0</v>
      </c>
      <c r="AB19" s="29">
        <f t="shared" si="28"/>
        <v>0</v>
      </c>
      <c r="AC19" s="29">
        <f t="shared" si="28"/>
        <v>0</v>
      </c>
      <c r="AD19" s="29">
        <f t="shared" si="28"/>
        <v>0</v>
      </c>
      <c r="AE19" s="29">
        <f t="shared" si="28"/>
        <v>0</v>
      </c>
      <c r="AF19" s="29">
        <f t="shared" si="28"/>
        <v>0</v>
      </c>
      <c r="AG19" s="29">
        <f t="shared" si="28"/>
        <v>0</v>
      </c>
      <c r="AH19" s="29">
        <f t="shared" si="28"/>
        <v>0</v>
      </c>
      <c r="AJ19" s="29">
        <f t="shared" ref="AJ19:AS19" si="29">ROUNDDOWN(AJ$10*AJ18,0)</f>
        <v>0</v>
      </c>
      <c r="AK19" s="29">
        <f t="shared" si="29"/>
        <v>0</v>
      </c>
      <c r="AL19" s="29">
        <f t="shared" si="29"/>
        <v>0</v>
      </c>
      <c r="AM19" s="29">
        <f t="shared" si="29"/>
        <v>0</v>
      </c>
      <c r="AN19" s="29">
        <f t="shared" si="29"/>
        <v>0</v>
      </c>
      <c r="AO19" s="29">
        <f t="shared" si="29"/>
        <v>0</v>
      </c>
      <c r="AP19" s="29">
        <f t="shared" si="29"/>
        <v>0</v>
      </c>
      <c r="AQ19" s="29">
        <f t="shared" si="29"/>
        <v>0</v>
      </c>
      <c r="AR19" s="29">
        <f t="shared" si="29"/>
        <v>0</v>
      </c>
      <c r="AS19" s="29">
        <f t="shared" si="29"/>
        <v>0</v>
      </c>
      <c r="AU19" s="29">
        <f t="shared" ref="AU19:BD19" si="30">ROUNDDOWN(AU$10*AU18,0)</f>
        <v>0</v>
      </c>
      <c r="AV19" s="29">
        <f t="shared" si="30"/>
        <v>0</v>
      </c>
      <c r="AW19" s="29">
        <f t="shared" si="30"/>
        <v>0</v>
      </c>
      <c r="AX19" s="29">
        <f t="shared" si="30"/>
        <v>0</v>
      </c>
      <c r="AY19" s="29">
        <f t="shared" si="30"/>
        <v>0</v>
      </c>
      <c r="AZ19" s="29">
        <f t="shared" si="30"/>
        <v>0</v>
      </c>
      <c r="BA19" s="29">
        <f t="shared" si="30"/>
        <v>0</v>
      </c>
      <c r="BB19" s="29">
        <f t="shared" si="30"/>
        <v>0</v>
      </c>
      <c r="BC19" s="29">
        <f t="shared" si="30"/>
        <v>0</v>
      </c>
      <c r="BD19" s="29">
        <f t="shared" si="30"/>
        <v>0</v>
      </c>
    </row>
    <row r="20" spans="1:56" s="29" customFormat="1">
      <c r="A20" s="2"/>
    </row>
    <row r="21" spans="1:56" s="29" customFormat="1">
      <c r="A21" s="3" t="s">
        <v>0</v>
      </c>
    </row>
    <row r="22" spans="1:56" s="29" customFormat="1">
      <c r="A22" s="3"/>
    </row>
    <row r="23" spans="1:56" s="29" customFormat="1" ht="12">
      <c r="A23" s="29" t="s">
        <v>17</v>
      </c>
    </row>
    <row r="24" spans="1:56" s="29" customFormat="1" ht="12"/>
    <row r="25" spans="1:56" s="29" customFormat="1" ht="12">
      <c r="A25" s="29" t="s">
        <v>1</v>
      </c>
    </row>
    <row r="26" spans="1:56" s="29" customFormat="1" ht="12"/>
    <row r="27" spans="1:56" s="29" customFormat="1" ht="12">
      <c r="A27" s="29" t="s">
        <v>9</v>
      </c>
    </row>
    <row r="28" spans="1:56" s="29" customFormat="1" ht="12"/>
    <row r="29" spans="1:56" s="29" customFormat="1" ht="12"/>
    <row r="30" spans="1:56" s="29" customFormat="1" ht="12"/>
    <row r="31" spans="1:56" s="29" customFormat="1" ht="12"/>
    <row r="32" spans="1:56" s="29" customFormat="1" ht="12"/>
    <row r="33" s="29" customFormat="1" ht="12"/>
    <row r="34" s="29" customFormat="1" ht="12"/>
    <row r="35" s="29" customFormat="1" ht="12"/>
    <row r="36" s="29" customFormat="1" ht="12"/>
    <row r="37" s="29" customFormat="1" ht="12"/>
    <row r="38" s="29" customFormat="1" ht="12"/>
    <row r="39" s="29" customFormat="1" ht="12"/>
    <row r="40" s="29" customFormat="1" ht="12"/>
    <row r="41" s="29" customFormat="1" ht="12"/>
    <row r="42" s="29" customFormat="1" ht="12"/>
    <row r="43" s="29" customFormat="1" ht="12"/>
    <row r="44" s="29" customFormat="1" ht="12"/>
    <row r="45" s="29" customFormat="1" ht="12"/>
    <row r="46" s="29" customFormat="1" ht="12"/>
    <row r="47" s="29" customFormat="1" ht="12"/>
    <row r="48" s="29" customFormat="1" ht="12"/>
    <row r="49" s="29" customFormat="1" ht="12"/>
    <row r="50" s="29" customFormat="1" ht="12"/>
    <row r="51" s="29" customFormat="1" ht="12"/>
    <row r="52" s="29" customFormat="1" ht="12"/>
    <row r="53" s="29" customFormat="1" ht="12"/>
    <row r="54" s="29" customFormat="1" ht="12"/>
    <row r="55" s="29" customFormat="1" ht="12"/>
    <row r="56" s="29" customFormat="1" ht="12"/>
    <row r="57" s="29" customFormat="1" ht="12"/>
    <row r="58" s="29" customFormat="1" ht="12"/>
    <row r="59" s="29" customFormat="1" ht="12"/>
    <row r="60" s="29" customFormat="1" ht="12"/>
    <row r="61" s="29" customFormat="1" ht="12"/>
    <row r="62" s="29" customFormat="1" ht="12"/>
    <row r="63" s="29" customFormat="1" ht="12"/>
    <row r="64" s="29" customFormat="1" ht="12"/>
    <row r="65" s="29" customFormat="1" ht="12"/>
    <row r="66" s="29" customFormat="1" ht="12"/>
    <row r="67" s="29" customFormat="1" ht="12"/>
    <row r="68" s="29" customFormat="1" ht="12"/>
  </sheetData>
  <customSheetViews>
    <customSheetView guid="{48BF2AC7-6055-432C-8BF0-71FB56F968AB}" scale="200" fitToPage="1" hiddenColumns="1" state="hidden">
      <pane xSplit="1" topLeftCell="AI1" activePane="topRight" state="frozen"/>
      <selection pane="topRight" activeCell="AP1" sqref="AP1:AS65536"/>
      <pageMargins left="0.98425196850393704" right="0.59055118110236227" top="0.78740157480314965" bottom="0.59055118110236227" header="0.51181102362204722" footer="0.51181102362204722"/>
      <pageSetup paperSize="9" scale="59" orientation="landscape" horizontalDpi="4294967292" verticalDpi="4294967292"/>
      <headerFooter alignWithMargins="0"/>
    </customSheetView>
  </customSheetViews>
  <phoneticPr fontId="2"/>
  <pageMargins left="0.98425196850393704" right="0.59055118110236227" top="0.78740157480314965" bottom="0.59055118110236227" header="0.51181102362204722" footer="0.51181102362204722"/>
  <pageSetup paperSize="9" scale="59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Q68"/>
  <sheetViews>
    <sheetView showGridLines="0" zoomScale="85" zoomScaleNormal="85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E8" sqref="AE8:AJ21"/>
    </sheetView>
  </sheetViews>
  <sheetFormatPr baseColWidth="10" defaultColWidth="10.85546875" defaultRowHeight="12.75"/>
  <cols>
    <col min="1" max="1" width="26" style="12" customWidth="1"/>
    <col min="2" max="2" width="5.42578125" style="12" customWidth="1"/>
    <col min="3" max="8" width="5.140625" style="2" customWidth="1"/>
    <col min="9" max="9" width="6.140625" style="2" customWidth="1"/>
    <col min="10" max="10" width="5" style="29" customWidth="1"/>
    <col min="11" max="15" width="5.140625" style="29" customWidth="1"/>
    <col min="16" max="16" width="6.5703125" style="29" bestFit="1" customWidth="1"/>
    <col min="17" max="19" width="5.140625" style="29" customWidth="1"/>
    <col min="20" max="22" width="5.140625" style="2" customWidth="1"/>
    <col min="23" max="23" width="5.7109375" style="2" customWidth="1"/>
    <col min="24" max="29" width="5.140625" style="2" customWidth="1"/>
    <col min="30" max="30" width="5.7109375" style="2" customWidth="1"/>
    <col min="31" max="36" width="5.140625" style="2" customWidth="1"/>
    <col min="37" max="37" width="5.42578125" style="2" bestFit="1" customWidth="1"/>
    <col min="38" max="38" width="5.7109375" style="2" customWidth="1"/>
    <col min="39" max="39" width="5.42578125" style="2" bestFit="1" customWidth="1"/>
    <col min="40" max="40" width="6.5703125" style="2" customWidth="1"/>
    <col min="41" max="41" width="5.85546875" customWidth="1"/>
    <col min="42" max="42" width="5.85546875" hidden="1" customWidth="1"/>
    <col min="43" max="43" width="4.42578125" style="2" customWidth="1"/>
    <col min="44" max="16384" width="10.85546875" style="2"/>
  </cols>
  <sheetData>
    <row r="1" spans="1:42" s="1" customFormat="1" ht="18.75">
      <c r="A1" s="201" t="s">
        <v>54</v>
      </c>
      <c r="B1" s="201"/>
      <c r="C1" s="202"/>
      <c r="D1" s="202"/>
      <c r="E1" s="202"/>
      <c r="F1" s="202"/>
      <c r="G1" s="202"/>
      <c r="H1" s="202"/>
      <c r="I1" s="202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/>
      <c r="AP1"/>
    </row>
    <row r="2" spans="1:42">
      <c r="A2" s="204"/>
      <c r="B2" s="204"/>
      <c r="C2" s="205"/>
      <c r="D2" s="205"/>
      <c r="E2" s="205"/>
      <c r="F2" s="205"/>
      <c r="G2" s="205"/>
      <c r="H2" s="205"/>
      <c r="I2" s="205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1:42" ht="15" customHeight="1">
      <c r="A3" s="204"/>
      <c r="B3" s="204"/>
      <c r="C3" s="206" t="s">
        <v>55</v>
      </c>
      <c r="D3" s="207"/>
      <c r="E3" s="207"/>
      <c r="F3" s="207"/>
      <c r="G3" s="207"/>
      <c r="H3" s="208"/>
      <c r="I3" s="209"/>
      <c r="J3" s="206" t="s">
        <v>57</v>
      </c>
      <c r="K3" s="207"/>
      <c r="L3" s="207"/>
      <c r="M3" s="207"/>
      <c r="N3" s="207"/>
      <c r="O3" s="208"/>
      <c r="P3" s="209"/>
      <c r="Q3" s="206" t="s">
        <v>59</v>
      </c>
      <c r="R3" s="207"/>
      <c r="S3" s="207"/>
      <c r="T3" s="207"/>
      <c r="U3" s="207"/>
      <c r="V3" s="208"/>
      <c r="W3" s="209"/>
      <c r="X3" s="206" t="s">
        <v>61</v>
      </c>
      <c r="Y3" s="207"/>
      <c r="Z3" s="207"/>
      <c r="AA3" s="207"/>
      <c r="AB3" s="207"/>
      <c r="AC3" s="208"/>
      <c r="AD3" s="209"/>
      <c r="AE3" s="206" t="s">
        <v>63</v>
      </c>
      <c r="AF3" s="207"/>
      <c r="AG3" s="207"/>
      <c r="AH3" s="207"/>
      <c r="AI3" s="207"/>
      <c r="AJ3" s="208"/>
      <c r="AK3" s="209"/>
      <c r="AL3" s="206" t="s">
        <v>65</v>
      </c>
      <c r="AM3" s="207"/>
      <c r="AN3" s="210"/>
    </row>
    <row r="4" spans="1:42" s="8" customFormat="1" ht="37.5" customHeight="1">
      <c r="A4" s="211" t="s">
        <v>66</v>
      </c>
      <c r="B4" s="212"/>
      <c r="C4" s="303">
        <v>0.29166666666666669</v>
      </c>
      <c r="D4" s="304">
        <v>0.48958333333333331</v>
      </c>
      <c r="E4" s="304">
        <f>D5</f>
        <v>0.5625</v>
      </c>
      <c r="F4" s="304">
        <f>E5</f>
        <v>0.62847222222222221</v>
      </c>
      <c r="G4" s="304">
        <f>F5</f>
        <v>0.67013888888888884</v>
      </c>
      <c r="H4" s="304">
        <f>G5</f>
        <v>0.70833333333333337</v>
      </c>
      <c r="I4" s="329" t="s">
        <v>56</v>
      </c>
      <c r="J4" s="303">
        <f>C4</f>
        <v>0.29166666666666669</v>
      </c>
      <c r="K4" s="303">
        <f t="shared" ref="K4:O5" si="0">D4</f>
        <v>0.48958333333333331</v>
      </c>
      <c r="L4" s="303">
        <f t="shared" si="0"/>
        <v>0.5625</v>
      </c>
      <c r="M4" s="303">
        <f t="shared" si="0"/>
        <v>0.62847222222222221</v>
      </c>
      <c r="N4" s="303">
        <f t="shared" si="0"/>
        <v>0.67013888888888884</v>
      </c>
      <c r="O4" s="303">
        <f t="shared" si="0"/>
        <v>0.70833333333333337</v>
      </c>
      <c r="P4" s="331" t="s">
        <v>58</v>
      </c>
      <c r="Q4" s="306">
        <f>J4</f>
        <v>0.29166666666666669</v>
      </c>
      <c r="R4" s="306">
        <f t="shared" ref="R4:V5" si="1">K4</f>
        <v>0.48958333333333331</v>
      </c>
      <c r="S4" s="306">
        <f t="shared" si="1"/>
        <v>0.5625</v>
      </c>
      <c r="T4" s="306">
        <f t="shared" si="1"/>
        <v>0.62847222222222221</v>
      </c>
      <c r="U4" s="306">
        <f t="shared" si="1"/>
        <v>0.67013888888888884</v>
      </c>
      <c r="V4" s="306">
        <f t="shared" si="1"/>
        <v>0.70833333333333337</v>
      </c>
      <c r="W4" s="331" t="s">
        <v>60</v>
      </c>
      <c r="X4" s="306">
        <f>C4</f>
        <v>0.29166666666666669</v>
      </c>
      <c r="Y4" s="306">
        <f t="shared" ref="Y4:AC5" si="2">D4</f>
        <v>0.48958333333333331</v>
      </c>
      <c r="Z4" s="306">
        <f t="shared" si="2"/>
        <v>0.5625</v>
      </c>
      <c r="AA4" s="306">
        <f t="shared" si="2"/>
        <v>0.62847222222222221</v>
      </c>
      <c r="AB4" s="306">
        <f t="shared" si="2"/>
        <v>0.67013888888888884</v>
      </c>
      <c r="AC4" s="306">
        <f t="shared" si="2"/>
        <v>0.70833333333333337</v>
      </c>
      <c r="AD4" s="331" t="s">
        <v>62</v>
      </c>
      <c r="AE4" s="306">
        <f>C4</f>
        <v>0.29166666666666669</v>
      </c>
      <c r="AF4" s="306">
        <f t="shared" ref="AF4:AJ5" si="3">D4</f>
        <v>0.48958333333333331</v>
      </c>
      <c r="AG4" s="306">
        <f t="shared" si="3"/>
        <v>0.5625</v>
      </c>
      <c r="AH4" s="306">
        <f t="shared" si="3"/>
        <v>0.62847222222222221</v>
      </c>
      <c r="AI4" s="306">
        <f t="shared" si="3"/>
        <v>0.67013888888888884</v>
      </c>
      <c r="AJ4" s="306">
        <f t="shared" si="3"/>
        <v>0.70833333333333337</v>
      </c>
      <c r="AK4" s="333" t="s">
        <v>64</v>
      </c>
      <c r="AL4" s="213"/>
      <c r="AM4" s="214"/>
      <c r="AN4" s="215"/>
      <c r="AO4"/>
      <c r="AP4"/>
    </row>
    <row r="5" spans="1:42" s="8" customFormat="1" ht="37.5" customHeight="1">
      <c r="A5" s="211" t="s">
        <v>67</v>
      </c>
      <c r="B5" s="216"/>
      <c r="C5" s="305">
        <v>0.33333333333333331</v>
      </c>
      <c r="D5" s="304">
        <v>0.5625</v>
      </c>
      <c r="E5" s="304">
        <v>0.62847222222222221</v>
      </c>
      <c r="F5" s="304">
        <v>0.67013888888888884</v>
      </c>
      <c r="G5" s="304">
        <v>0.70833333333333337</v>
      </c>
      <c r="H5" s="304">
        <v>0.75</v>
      </c>
      <c r="I5" s="330"/>
      <c r="J5" s="303">
        <f>C5</f>
        <v>0.33333333333333331</v>
      </c>
      <c r="K5" s="303">
        <f t="shared" si="0"/>
        <v>0.5625</v>
      </c>
      <c r="L5" s="303">
        <f t="shared" si="0"/>
        <v>0.62847222222222221</v>
      </c>
      <c r="M5" s="303">
        <f t="shared" si="0"/>
        <v>0.67013888888888884</v>
      </c>
      <c r="N5" s="303">
        <f t="shared" si="0"/>
        <v>0.70833333333333337</v>
      </c>
      <c r="O5" s="303">
        <f t="shared" si="0"/>
        <v>0.75</v>
      </c>
      <c r="P5" s="332"/>
      <c r="Q5" s="306">
        <f>J5</f>
        <v>0.33333333333333331</v>
      </c>
      <c r="R5" s="306">
        <f t="shared" si="1"/>
        <v>0.5625</v>
      </c>
      <c r="S5" s="306">
        <f t="shared" si="1"/>
        <v>0.62847222222222221</v>
      </c>
      <c r="T5" s="306">
        <f t="shared" si="1"/>
        <v>0.67013888888888884</v>
      </c>
      <c r="U5" s="306">
        <f t="shared" si="1"/>
        <v>0.70833333333333337</v>
      </c>
      <c r="V5" s="306">
        <f t="shared" si="1"/>
        <v>0.75</v>
      </c>
      <c r="W5" s="332"/>
      <c r="X5" s="306">
        <f>C5</f>
        <v>0.33333333333333331</v>
      </c>
      <c r="Y5" s="306">
        <f t="shared" si="2"/>
        <v>0.5625</v>
      </c>
      <c r="Z5" s="306">
        <f t="shared" si="2"/>
        <v>0.62847222222222221</v>
      </c>
      <c r="AA5" s="306">
        <f t="shared" si="2"/>
        <v>0.67013888888888884</v>
      </c>
      <c r="AB5" s="306">
        <f t="shared" si="2"/>
        <v>0.70833333333333337</v>
      </c>
      <c r="AC5" s="306">
        <f t="shared" si="2"/>
        <v>0.75</v>
      </c>
      <c r="AD5" s="332"/>
      <c r="AE5" s="306">
        <f>C5</f>
        <v>0.33333333333333331</v>
      </c>
      <c r="AF5" s="306">
        <f t="shared" si="3"/>
        <v>0.5625</v>
      </c>
      <c r="AG5" s="306">
        <f t="shared" si="3"/>
        <v>0.62847222222222221</v>
      </c>
      <c r="AH5" s="306">
        <f t="shared" si="3"/>
        <v>0.67013888888888884</v>
      </c>
      <c r="AI5" s="306">
        <f t="shared" si="3"/>
        <v>0.70833333333333337</v>
      </c>
      <c r="AJ5" s="306">
        <f t="shared" si="3"/>
        <v>0.75</v>
      </c>
      <c r="AK5" s="330"/>
      <c r="AL5" s="217"/>
      <c r="AM5" s="218"/>
      <c r="AN5" s="219"/>
      <c r="AO5"/>
      <c r="AP5"/>
    </row>
    <row r="6" spans="1:42" s="8" customFormat="1" ht="25.5" customHeight="1">
      <c r="A6" s="96" t="s">
        <v>68</v>
      </c>
      <c r="B6" s="96"/>
      <c r="C6" s="220">
        <f t="shared" ref="C6:H6" si="4">(C5-C4)*24</f>
        <v>0.99999999999999911</v>
      </c>
      <c r="D6" s="221">
        <f t="shared" si="4"/>
        <v>1.7500000000000004</v>
      </c>
      <c r="E6" s="221">
        <f t="shared" si="4"/>
        <v>1.583333333333333</v>
      </c>
      <c r="F6" s="221">
        <f t="shared" si="4"/>
        <v>0.99999999999999911</v>
      </c>
      <c r="G6" s="221">
        <f t="shared" si="4"/>
        <v>0.91666666666666874</v>
      </c>
      <c r="H6" s="221">
        <f t="shared" si="4"/>
        <v>0.99999999999999911</v>
      </c>
      <c r="I6" s="222"/>
      <c r="J6" s="220">
        <f t="shared" ref="J6:O6" si="5">(J5-J4)*24</f>
        <v>0.99999999999999911</v>
      </c>
      <c r="K6" s="221">
        <f t="shared" si="5"/>
        <v>1.7500000000000004</v>
      </c>
      <c r="L6" s="221">
        <f t="shared" si="5"/>
        <v>1.583333333333333</v>
      </c>
      <c r="M6" s="221">
        <f t="shared" si="5"/>
        <v>0.99999999999999911</v>
      </c>
      <c r="N6" s="221">
        <f t="shared" si="5"/>
        <v>0.91666666666666874</v>
      </c>
      <c r="O6" s="221">
        <f t="shared" si="5"/>
        <v>0.99999999999999911</v>
      </c>
      <c r="P6" s="222"/>
      <c r="Q6" s="220">
        <f t="shared" ref="Q6:V6" si="6">(Q5-Q4)*24</f>
        <v>0.99999999999999911</v>
      </c>
      <c r="R6" s="221">
        <f t="shared" si="6"/>
        <v>1.7500000000000004</v>
      </c>
      <c r="S6" s="221">
        <f t="shared" si="6"/>
        <v>1.583333333333333</v>
      </c>
      <c r="T6" s="221">
        <f t="shared" si="6"/>
        <v>0.99999999999999911</v>
      </c>
      <c r="U6" s="221">
        <f t="shared" si="6"/>
        <v>0.91666666666666874</v>
      </c>
      <c r="V6" s="221">
        <f t="shared" si="6"/>
        <v>0.99999999999999911</v>
      </c>
      <c r="W6" s="222"/>
      <c r="X6" s="220">
        <f t="shared" ref="X6:AC6" si="7">(X5-X4)*24</f>
        <v>0.99999999999999911</v>
      </c>
      <c r="Y6" s="221">
        <f t="shared" si="7"/>
        <v>1.7500000000000004</v>
      </c>
      <c r="Z6" s="221">
        <f t="shared" si="7"/>
        <v>1.583333333333333</v>
      </c>
      <c r="AA6" s="221">
        <f t="shared" si="7"/>
        <v>0.99999999999999911</v>
      </c>
      <c r="AB6" s="221">
        <f t="shared" si="7"/>
        <v>0.91666666666666874</v>
      </c>
      <c r="AC6" s="221">
        <f t="shared" si="7"/>
        <v>0.99999999999999911</v>
      </c>
      <c r="AD6" s="222"/>
      <c r="AE6" s="220">
        <f t="shared" ref="AE6:AJ6" si="8">(AE5-AE4)*24</f>
        <v>0.99999999999999911</v>
      </c>
      <c r="AF6" s="221">
        <f t="shared" si="8"/>
        <v>1.7500000000000004</v>
      </c>
      <c r="AG6" s="221">
        <f t="shared" si="8"/>
        <v>1.583333333333333</v>
      </c>
      <c r="AH6" s="221">
        <f t="shared" si="8"/>
        <v>0.99999999999999911</v>
      </c>
      <c r="AI6" s="221">
        <f t="shared" si="8"/>
        <v>0.91666666666666874</v>
      </c>
      <c r="AJ6" s="221">
        <f t="shared" si="8"/>
        <v>0.99999999999999911</v>
      </c>
      <c r="AK6" s="222"/>
      <c r="AL6" s="223"/>
      <c r="AM6" s="224"/>
      <c r="AN6" s="225"/>
      <c r="AO6"/>
      <c r="AP6"/>
    </row>
    <row r="7" spans="1:42" s="8" customFormat="1" ht="25.5" customHeight="1">
      <c r="A7" s="226" t="s">
        <v>69</v>
      </c>
      <c r="B7" s="226"/>
      <c r="C7" s="227">
        <v>6</v>
      </c>
      <c r="D7" s="228">
        <v>12</v>
      </c>
      <c r="E7" s="228">
        <v>2</v>
      </c>
      <c r="F7" s="228">
        <v>13</v>
      </c>
      <c r="G7" s="228">
        <v>11</v>
      </c>
      <c r="H7" s="228">
        <v>4</v>
      </c>
      <c r="I7" s="229"/>
      <c r="J7" s="227"/>
      <c r="K7" s="228"/>
      <c r="L7" s="228"/>
      <c r="M7" s="228"/>
      <c r="N7" s="228"/>
      <c r="O7" s="228"/>
      <c r="P7" s="230"/>
      <c r="Q7" s="227"/>
      <c r="R7" s="228"/>
      <c r="S7" s="228"/>
      <c r="T7" s="228"/>
      <c r="U7" s="228"/>
      <c r="V7" s="228"/>
      <c r="W7" s="230"/>
      <c r="X7" s="227">
        <v>5</v>
      </c>
      <c r="Y7" s="228">
        <v>12</v>
      </c>
      <c r="Z7" s="228">
        <v>7</v>
      </c>
      <c r="AA7" s="228">
        <v>8</v>
      </c>
      <c r="AB7" s="228">
        <v>8</v>
      </c>
      <c r="AC7" s="228">
        <v>4</v>
      </c>
      <c r="AD7" s="230"/>
      <c r="AE7" s="227"/>
      <c r="AF7" s="228"/>
      <c r="AG7" s="228"/>
      <c r="AH7" s="228"/>
      <c r="AI7" s="228"/>
      <c r="AJ7" s="228"/>
      <c r="AK7" s="231"/>
      <c r="AL7" s="232"/>
      <c r="AM7" s="233"/>
      <c r="AN7" s="234"/>
      <c r="AO7"/>
      <c r="AP7"/>
    </row>
    <row r="8" spans="1:42" s="8" customFormat="1" ht="25.5" customHeight="1">
      <c r="A8" s="307" t="s">
        <v>84</v>
      </c>
      <c r="B8" s="308"/>
      <c r="C8" s="309" t="s">
        <v>26</v>
      </c>
      <c r="D8" s="310" t="s">
        <v>26</v>
      </c>
      <c r="E8" s="310"/>
      <c r="F8" s="310" t="s">
        <v>26</v>
      </c>
      <c r="G8" s="310" t="s">
        <v>26</v>
      </c>
      <c r="H8" s="310" t="s">
        <v>26</v>
      </c>
      <c r="I8" s="236">
        <f>SUMIF(C8:H8,$AP$8,C6:H6)</f>
        <v>5.666666666666667</v>
      </c>
      <c r="J8" s="309"/>
      <c r="K8" s="310"/>
      <c r="L8" s="310"/>
      <c r="M8" s="310"/>
      <c r="N8" s="310"/>
      <c r="O8" s="310"/>
      <c r="P8" s="236">
        <f>SUMIF(J8:O8,$AP$8,J6:O6)</f>
        <v>0</v>
      </c>
      <c r="Q8" s="309"/>
      <c r="R8" s="310"/>
      <c r="S8" s="310"/>
      <c r="T8" s="310"/>
      <c r="U8" s="310"/>
      <c r="V8" s="310"/>
      <c r="W8" s="236">
        <f>SUMIF(Q8:V8,$AP$8,Q6:V6)</f>
        <v>0</v>
      </c>
      <c r="X8" s="309" t="s">
        <v>26</v>
      </c>
      <c r="Y8" s="310" t="s">
        <v>26</v>
      </c>
      <c r="Z8" s="310" t="s">
        <v>26</v>
      </c>
      <c r="AA8" s="310" t="s">
        <v>26</v>
      </c>
      <c r="AB8" s="310" t="s">
        <v>26</v>
      </c>
      <c r="AC8" s="310" t="s">
        <v>26</v>
      </c>
      <c r="AD8" s="236">
        <f>SUMIF(X8:AC8,$AP$8,X6:AC6)</f>
        <v>7.2499999999999991</v>
      </c>
      <c r="AE8" s="309"/>
      <c r="AF8" s="310"/>
      <c r="AG8" s="310"/>
      <c r="AH8" s="310"/>
      <c r="AI8" s="310"/>
      <c r="AJ8" s="310"/>
      <c r="AK8" s="236">
        <f>SUMIF(AE8:AJ8,$AP$8,AE6:AJ6)</f>
        <v>0</v>
      </c>
      <c r="AL8" s="223"/>
      <c r="AM8" s="224"/>
      <c r="AN8" s="237">
        <f>MAXA(I8,P8,W8,AD8,AK8)</f>
        <v>7.2499999999999991</v>
      </c>
      <c r="AO8"/>
      <c r="AP8" t="s">
        <v>26</v>
      </c>
    </row>
    <row r="9" spans="1:42" s="83" customFormat="1">
      <c r="A9" s="238"/>
      <c r="B9" s="238"/>
      <c r="C9" s="239"/>
      <c r="D9" s="240"/>
      <c r="E9" s="240"/>
      <c r="F9" s="240"/>
      <c r="G9" s="240"/>
      <c r="H9" s="240"/>
      <c r="I9" s="224"/>
      <c r="J9" s="311"/>
      <c r="K9" s="311"/>
      <c r="L9" s="311"/>
      <c r="M9" s="311"/>
      <c r="N9" s="311"/>
      <c r="O9" s="311"/>
      <c r="P9" s="224"/>
      <c r="Q9" s="311"/>
      <c r="R9" s="311"/>
      <c r="S9" s="311"/>
      <c r="T9" s="311"/>
      <c r="U9" s="311"/>
      <c r="V9" s="311"/>
      <c r="W9" s="224"/>
      <c r="X9" s="311"/>
      <c r="Y9" s="311"/>
      <c r="Z9" s="311"/>
      <c r="AA9" s="311"/>
      <c r="AB9" s="311"/>
      <c r="AC9" s="318"/>
      <c r="AD9" s="224"/>
      <c r="AE9" s="311"/>
      <c r="AF9" s="311"/>
      <c r="AG9" s="311"/>
      <c r="AH9" s="311"/>
      <c r="AI9" s="311"/>
      <c r="AJ9" s="311"/>
      <c r="AK9" s="242"/>
      <c r="AL9" s="243"/>
      <c r="AM9" s="244"/>
      <c r="AN9" s="245"/>
      <c r="AO9" s="56"/>
      <c r="AP9" s="56"/>
    </row>
    <row r="10" spans="1:42" s="46" customFormat="1" ht="20.100000000000001" customHeight="1">
      <c r="A10" s="246" t="s">
        <v>74</v>
      </c>
      <c r="B10" s="316" t="s">
        <v>3</v>
      </c>
      <c r="C10" s="312"/>
      <c r="D10" s="313"/>
      <c r="E10" s="313"/>
      <c r="F10" s="313"/>
      <c r="G10" s="313"/>
      <c r="H10" s="313"/>
      <c r="I10" s="250"/>
      <c r="J10" s="312"/>
      <c r="K10" s="313"/>
      <c r="L10" s="313"/>
      <c r="M10" s="313"/>
      <c r="N10" s="313"/>
      <c r="O10" s="313"/>
      <c r="P10" s="250"/>
      <c r="Q10" s="312"/>
      <c r="R10" s="313"/>
      <c r="S10" s="313"/>
      <c r="T10" s="313"/>
      <c r="U10" s="313"/>
      <c r="V10" s="313"/>
      <c r="W10" s="250"/>
      <c r="X10" s="312"/>
      <c r="Y10" s="313"/>
      <c r="Z10" s="313"/>
      <c r="AA10" s="313"/>
      <c r="AB10" s="313"/>
      <c r="AC10" s="313"/>
      <c r="AD10" s="250"/>
      <c r="AE10" s="312"/>
      <c r="AF10" s="313"/>
      <c r="AG10" s="313"/>
      <c r="AH10" s="313"/>
      <c r="AI10" s="313"/>
      <c r="AJ10" s="313"/>
      <c r="AK10" s="250"/>
      <c r="AL10" s="248" t="s">
        <v>88</v>
      </c>
      <c r="AM10" s="251" t="s">
        <v>28</v>
      </c>
      <c r="AN10" s="252" t="s">
        <v>23</v>
      </c>
      <c r="AO10"/>
      <c r="AP10"/>
    </row>
    <row r="11" spans="1:42" s="46" customFormat="1" ht="20.100000000000001" customHeight="1">
      <c r="A11" s="253" t="s">
        <v>155</v>
      </c>
      <c r="B11" s="317" t="s">
        <v>193</v>
      </c>
      <c r="C11" s="314">
        <v>1</v>
      </c>
      <c r="D11" s="315">
        <v>1</v>
      </c>
      <c r="E11" s="315"/>
      <c r="F11" s="315">
        <v>1</v>
      </c>
      <c r="G11" s="315">
        <v>1</v>
      </c>
      <c r="H11" s="315"/>
      <c r="I11" s="254">
        <f>C11*C$6+D11*D$6+E$6*E11+F11*F$6+G11*G$6+H11*H$6</f>
        <v>4.6666666666666679</v>
      </c>
      <c r="J11" s="314"/>
      <c r="K11" s="315"/>
      <c r="L11" s="315"/>
      <c r="M11" s="315"/>
      <c r="N11" s="315"/>
      <c r="O11" s="315"/>
      <c r="P11" s="254">
        <f>J11*J$6+K11*K$6+L$6*L11+M11*M$6+N11*N$6+O11*O$6</f>
        <v>0</v>
      </c>
      <c r="Q11" s="314"/>
      <c r="R11" s="315"/>
      <c r="S11" s="315"/>
      <c r="T11" s="315"/>
      <c r="U11" s="315"/>
      <c r="V11" s="315"/>
      <c r="W11" s="254">
        <f>Q11*Q$6+R11*R$6+S$6*S11+T11*T$6+U11*U$6+V11*V$6</f>
        <v>0</v>
      </c>
      <c r="X11" s="314">
        <v>1</v>
      </c>
      <c r="Y11" s="315">
        <v>1</v>
      </c>
      <c r="Z11" s="315"/>
      <c r="AA11" s="315">
        <v>1</v>
      </c>
      <c r="AB11" s="315">
        <v>1</v>
      </c>
      <c r="AC11" s="315">
        <v>1</v>
      </c>
      <c r="AD11" s="254">
        <f>X11*X$6+Y11*Y$6+Z$6*Z11+AA11*AA$6+AB11*AB$6+AC11*AC$6</f>
        <v>5.666666666666667</v>
      </c>
      <c r="AE11" s="314"/>
      <c r="AF11" s="315"/>
      <c r="AG11" s="315"/>
      <c r="AH11" s="315"/>
      <c r="AI11" s="315"/>
      <c r="AJ11" s="315"/>
      <c r="AK11" s="254">
        <f>AE11*AE$6+AF11*AF$6+AG$6*AG11+AH11*AH$6+AI11*AI$6+AJ11*AJ$6</f>
        <v>0</v>
      </c>
      <c r="AL11" s="255">
        <f t="shared" ref="AL11:AL21" si="9">IF(B11="N",0,IF(B11="F",AN11,"Bitte Qualifikation in der Spalte B eintragen"))</f>
        <v>10.333333333333336</v>
      </c>
      <c r="AM11" s="256">
        <f t="shared" ref="AM11:AM21" si="10">IF(B11="F",0,IF(B11="N",AN11,"Bitte Qualifikation in der Spalte B eintragen"))</f>
        <v>0</v>
      </c>
      <c r="AN11" s="257">
        <f>I11+P11+W11+AD11+AK11</f>
        <v>10.333333333333336</v>
      </c>
      <c r="AO11"/>
      <c r="AP11"/>
    </row>
    <row r="12" spans="1:42" s="46" customFormat="1" ht="20.100000000000001" customHeight="1">
      <c r="A12" s="253" t="s">
        <v>75</v>
      </c>
      <c r="B12" s="317" t="s">
        <v>193</v>
      </c>
      <c r="C12" s="314"/>
      <c r="D12" s="315"/>
      <c r="E12" s="315"/>
      <c r="F12" s="315">
        <v>1</v>
      </c>
      <c r="G12" s="315"/>
      <c r="H12" s="315"/>
      <c r="I12" s="254">
        <f>C12*C$6+D12*D$6+E$6*E12+F12*F$6+G12*G$6+H12*H$6</f>
        <v>0.99999999999999911</v>
      </c>
      <c r="J12" s="314"/>
      <c r="K12" s="315"/>
      <c r="L12" s="315"/>
      <c r="M12" s="315"/>
      <c r="N12" s="315"/>
      <c r="O12" s="315"/>
      <c r="P12" s="254">
        <f>J12*J$6+K12*K$6+L$6*L12+M12*M$6+N12*N$6+O12*O$6</f>
        <v>0</v>
      </c>
      <c r="Q12" s="314"/>
      <c r="R12" s="315"/>
      <c r="S12" s="315"/>
      <c r="T12" s="315"/>
      <c r="U12" s="315"/>
      <c r="V12" s="315"/>
      <c r="W12" s="254">
        <f>Q12*Q$6+R12*R$6+S$6*S12+T12*T$6+U12*U$6+V12*V$6</f>
        <v>0</v>
      </c>
      <c r="X12" s="314"/>
      <c r="Y12" s="315"/>
      <c r="Z12" s="315"/>
      <c r="AA12" s="315"/>
      <c r="AB12" s="315"/>
      <c r="AC12" s="315"/>
      <c r="AD12" s="254">
        <f>X12*X$6+Y12*Y$6+Z$6*Z12+AA12*AA$6+AB12*AB$6+AC12*AC$6</f>
        <v>0</v>
      </c>
      <c r="AE12" s="314"/>
      <c r="AF12" s="315"/>
      <c r="AG12" s="315"/>
      <c r="AH12" s="315"/>
      <c r="AI12" s="315"/>
      <c r="AJ12" s="315"/>
      <c r="AK12" s="254">
        <f>AE12*AE$6+AF12*AF$6+AG$6*AG12+AH12*AH$6+AI12*AI$6+AJ12*AJ$6</f>
        <v>0</v>
      </c>
      <c r="AL12" s="255">
        <f t="shared" si="9"/>
        <v>0.99999999999999911</v>
      </c>
      <c r="AM12" s="256">
        <f t="shared" si="10"/>
        <v>0</v>
      </c>
      <c r="AN12" s="257">
        <f>I12+P12+W12+AD12+AK12</f>
        <v>0.99999999999999911</v>
      </c>
      <c r="AO12"/>
      <c r="AP12"/>
    </row>
    <row r="13" spans="1:42" s="46" customFormat="1" ht="20.100000000000001" customHeight="1">
      <c r="A13" s="253" t="s">
        <v>76</v>
      </c>
      <c r="B13" s="317" t="s">
        <v>193</v>
      </c>
      <c r="C13" s="314"/>
      <c r="D13" s="315"/>
      <c r="E13" s="315"/>
      <c r="F13" s="315"/>
      <c r="G13" s="315"/>
      <c r="H13" s="315"/>
      <c r="I13" s="254">
        <f>C13*C$6+D13*D$6+E$6*E13+F13*F$6+G13*G$6+H13*H$6</f>
        <v>0</v>
      </c>
      <c r="J13" s="314"/>
      <c r="K13" s="315"/>
      <c r="L13" s="315"/>
      <c r="M13" s="315"/>
      <c r="N13" s="315"/>
      <c r="O13" s="315"/>
      <c r="P13" s="254">
        <f>J13*J$6+K13*K$6+L$6*L13+M13*M$6+N13*N$6+O13*O$6</f>
        <v>0</v>
      </c>
      <c r="Q13" s="314"/>
      <c r="R13" s="315"/>
      <c r="S13" s="315"/>
      <c r="T13" s="315"/>
      <c r="U13" s="315"/>
      <c r="V13" s="315"/>
      <c r="W13" s="254">
        <f>Q13*Q$6+R13*R$6+S$6*S13+T13*T$6+U13*U$6+V13*V$6</f>
        <v>0</v>
      </c>
      <c r="X13" s="314"/>
      <c r="Y13" s="315">
        <v>1</v>
      </c>
      <c r="Z13" s="315">
        <v>1</v>
      </c>
      <c r="AA13" s="315"/>
      <c r="AB13" s="315"/>
      <c r="AC13" s="315"/>
      <c r="AD13" s="254">
        <f>X13*X$6+Y13*Y$6+Z$6*Z13+AA13*AA$6+AB13*AB$6+AC13*AC$6</f>
        <v>3.3333333333333335</v>
      </c>
      <c r="AE13" s="314"/>
      <c r="AF13" s="315"/>
      <c r="AG13" s="315"/>
      <c r="AH13" s="315"/>
      <c r="AI13" s="315"/>
      <c r="AJ13" s="315"/>
      <c r="AK13" s="254">
        <f>AE13*AE$6+AF13*AF$6+AG$6*AG13+AH13*AH$6+AI13*AI$6+AJ13*AJ$6</f>
        <v>0</v>
      </c>
      <c r="AL13" s="255">
        <f t="shared" si="9"/>
        <v>3.3333333333333335</v>
      </c>
      <c r="AM13" s="256">
        <f t="shared" si="10"/>
        <v>0</v>
      </c>
      <c r="AN13" s="257">
        <f>I13+P13+W13+AD13+AK13</f>
        <v>3.3333333333333335</v>
      </c>
      <c r="AO13"/>
      <c r="AP13"/>
    </row>
    <row r="14" spans="1:42" s="46" customFormat="1" ht="20.100000000000001" customHeight="1">
      <c r="A14" s="253" t="s">
        <v>151</v>
      </c>
      <c r="B14" s="317" t="s">
        <v>193</v>
      </c>
      <c r="C14" s="314"/>
      <c r="D14" s="315"/>
      <c r="E14" s="315"/>
      <c r="F14" s="315"/>
      <c r="G14" s="315"/>
      <c r="H14" s="315"/>
      <c r="I14" s="254">
        <f t="shared" ref="I14:I21" si="11">C14*C$6+D14*D$6+E$6*E14+F14*F$6+G14*G$6+H14*H$6</f>
        <v>0</v>
      </c>
      <c r="J14" s="314"/>
      <c r="K14" s="315"/>
      <c r="L14" s="315"/>
      <c r="M14" s="315"/>
      <c r="N14" s="315"/>
      <c r="O14" s="315"/>
      <c r="P14" s="254">
        <f t="shared" ref="P14:P21" si="12">J14*J$6+K14*K$6+L$6*L14+M14*M$6+N14*N$6+O14*O$6</f>
        <v>0</v>
      </c>
      <c r="Q14" s="314"/>
      <c r="R14" s="315"/>
      <c r="S14" s="315"/>
      <c r="T14" s="315"/>
      <c r="U14" s="315"/>
      <c r="V14" s="315"/>
      <c r="W14" s="254">
        <f t="shared" ref="W14:W21" si="13">Q14*Q$6+R14*R$6+S$6*S14+T14*T$6+U14*U$6+V14*V$6</f>
        <v>0</v>
      </c>
      <c r="X14" s="314"/>
      <c r="Y14" s="315"/>
      <c r="Z14" s="315"/>
      <c r="AA14" s="315"/>
      <c r="AB14" s="315"/>
      <c r="AC14" s="315"/>
      <c r="AD14" s="254">
        <f t="shared" ref="AD14:AD21" si="14">X14*X$6+Y14*Y$6+Z$6*Z14+AA14*AA$6+AB14*AB$6+AC14*AC$6</f>
        <v>0</v>
      </c>
      <c r="AE14" s="314"/>
      <c r="AF14" s="315"/>
      <c r="AG14" s="315"/>
      <c r="AH14" s="315"/>
      <c r="AI14" s="315"/>
      <c r="AJ14" s="315"/>
      <c r="AK14" s="254">
        <f t="shared" ref="AK14:AK21" si="15">AE14*AE$6+AF14*AF$6+AG$6*AG14+AH14*AH$6+AI14*AI$6+AJ14*AJ$6</f>
        <v>0</v>
      </c>
      <c r="AL14" s="255">
        <f t="shared" si="9"/>
        <v>0</v>
      </c>
      <c r="AM14" s="256">
        <f t="shared" si="10"/>
        <v>0</v>
      </c>
      <c r="AN14" s="257">
        <f t="shared" ref="AN14:AN21" si="16">I14+P14+W14+AD14+AK14</f>
        <v>0</v>
      </c>
      <c r="AO14"/>
      <c r="AP14"/>
    </row>
    <row r="15" spans="1:42" s="46" customFormat="1" ht="20.100000000000001" customHeight="1">
      <c r="A15" s="253" t="s">
        <v>77</v>
      </c>
      <c r="B15" s="317" t="s">
        <v>193</v>
      </c>
      <c r="C15" s="314"/>
      <c r="D15" s="315"/>
      <c r="E15" s="315"/>
      <c r="F15" s="315"/>
      <c r="G15" s="315"/>
      <c r="H15" s="315"/>
      <c r="I15" s="254">
        <f t="shared" si="11"/>
        <v>0</v>
      </c>
      <c r="J15" s="314"/>
      <c r="K15" s="315"/>
      <c r="L15" s="315"/>
      <c r="M15" s="315"/>
      <c r="N15" s="315"/>
      <c r="O15" s="315"/>
      <c r="P15" s="254">
        <f t="shared" si="12"/>
        <v>0</v>
      </c>
      <c r="Q15" s="314"/>
      <c r="R15" s="315"/>
      <c r="S15" s="315"/>
      <c r="T15" s="315"/>
      <c r="U15" s="315"/>
      <c r="V15" s="315"/>
      <c r="W15" s="254">
        <f t="shared" si="13"/>
        <v>0</v>
      </c>
      <c r="X15" s="314"/>
      <c r="Y15" s="315"/>
      <c r="Z15" s="315"/>
      <c r="AA15" s="315"/>
      <c r="AB15" s="315"/>
      <c r="AC15" s="315"/>
      <c r="AD15" s="254">
        <f t="shared" si="14"/>
        <v>0</v>
      </c>
      <c r="AE15" s="314"/>
      <c r="AF15" s="315"/>
      <c r="AG15" s="315"/>
      <c r="AH15" s="315"/>
      <c r="AI15" s="315"/>
      <c r="AJ15" s="315"/>
      <c r="AK15" s="254">
        <f t="shared" si="15"/>
        <v>0</v>
      </c>
      <c r="AL15" s="255">
        <f t="shared" si="9"/>
        <v>0</v>
      </c>
      <c r="AM15" s="256">
        <f t="shared" si="10"/>
        <v>0</v>
      </c>
      <c r="AN15" s="257">
        <f t="shared" si="16"/>
        <v>0</v>
      </c>
      <c r="AO15"/>
      <c r="AP15"/>
    </row>
    <row r="16" spans="1:42" s="46" customFormat="1" ht="20.100000000000001" customHeight="1">
      <c r="A16" s="253" t="s">
        <v>78</v>
      </c>
      <c r="B16" s="317" t="s">
        <v>193</v>
      </c>
      <c r="C16" s="314"/>
      <c r="D16" s="315"/>
      <c r="E16" s="315"/>
      <c r="F16" s="315"/>
      <c r="G16" s="315"/>
      <c r="H16" s="315"/>
      <c r="I16" s="254">
        <f t="shared" si="11"/>
        <v>0</v>
      </c>
      <c r="J16" s="314"/>
      <c r="K16" s="315"/>
      <c r="L16" s="315"/>
      <c r="M16" s="315"/>
      <c r="N16" s="315"/>
      <c r="O16" s="315"/>
      <c r="P16" s="254">
        <f t="shared" si="12"/>
        <v>0</v>
      </c>
      <c r="Q16" s="314"/>
      <c r="R16" s="315"/>
      <c r="S16" s="315"/>
      <c r="T16" s="315"/>
      <c r="U16" s="315"/>
      <c r="V16" s="315"/>
      <c r="W16" s="254">
        <f t="shared" si="13"/>
        <v>0</v>
      </c>
      <c r="X16" s="314"/>
      <c r="Y16" s="315"/>
      <c r="Z16" s="315"/>
      <c r="AA16" s="315"/>
      <c r="AB16" s="315"/>
      <c r="AC16" s="315"/>
      <c r="AD16" s="254">
        <f t="shared" si="14"/>
        <v>0</v>
      </c>
      <c r="AE16" s="314"/>
      <c r="AF16" s="315"/>
      <c r="AG16" s="315"/>
      <c r="AH16" s="315"/>
      <c r="AI16" s="315"/>
      <c r="AJ16" s="315"/>
      <c r="AK16" s="254">
        <f t="shared" si="15"/>
        <v>0</v>
      </c>
      <c r="AL16" s="255">
        <f t="shared" si="9"/>
        <v>0</v>
      </c>
      <c r="AM16" s="256">
        <f t="shared" si="10"/>
        <v>0</v>
      </c>
      <c r="AN16" s="257">
        <f t="shared" si="16"/>
        <v>0</v>
      </c>
      <c r="AO16"/>
      <c r="AP16"/>
    </row>
    <row r="17" spans="1:43" s="46" customFormat="1" ht="20.100000000000001" customHeight="1">
      <c r="A17" s="253" t="s">
        <v>79</v>
      </c>
      <c r="B17" s="317" t="s">
        <v>2</v>
      </c>
      <c r="C17" s="314"/>
      <c r="D17" s="315">
        <v>1</v>
      </c>
      <c r="E17" s="315"/>
      <c r="F17" s="315">
        <v>1</v>
      </c>
      <c r="G17" s="315"/>
      <c r="H17" s="315"/>
      <c r="I17" s="254">
        <f t="shared" si="11"/>
        <v>2.7499999999999996</v>
      </c>
      <c r="J17" s="314"/>
      <c r="K17" s="315"/>
      <c r="L17" s="315"/>
      <c r="M17" s="315"/>
      <c r="N17" s="315"/>
      <c r="O17" s="315"/>
      <c r="P17" s="254">
        <f t="shared" si="12"/>
        <v>0</v>
      </c>
      <c r="Q17" s="314"/>
      <c r="R17" s="315"/>
      <c r="S17" s="315"/>
      <c r="T17" s="315"/>
      <c r="U17" s="315"/>
      <c r="V17" s="315"/>
      <c r="W17" s="254">
        <f t="shared" si="13"/>
        <v>0</v>
      </c>
      <c r="X17" s="314"/>
      <c r="Y17" s="315"/>
      <c r="Z17" s="315"/>
      <c r="AA17" s="315"/>
      <c r="AB17" s="315"/>
      <c r="AC17" s="315"/>
      <c r="AD17" s="254">
        <f t="shared" si="14"/>
        <v>0</v>
      </c>
      <c r="AE17" s="314"/>
      <c r="AF17" s="315"/>
      <c r="AG17" s="315"/>
      <c r="AH17" s="315"/>
      <c r="AI17" s="315"/>
      <c r="AJ17" s="315"/>
      <c r="AK17" s="254">
        <f t="shared" si="15"/>
        <v>0</v>
      </c>
      <c r="AL17" s="255">
        <f t="shared" si="9"/>
        <v>0</v>
      </c>
      <c r="AM17" s="256">
        <f t="shared" si="10"/>
        <v>2.7499999999999996</v>
      </c>
      <c r="AN17" s="257">
        <f t="shared" si="16"/>
        <v>2.7499999999999996</v>
      </c>
      <c r="AO17"/>
      <c r="AP17"/>
    </row>
    <row r="18" spans="1:43" s="46" customFormat="1" ht="20.100000000000001" customHeight="1">
      <c r="A18" s="253" t="s">
        <v>80</v>
      </c>
      <c r="B18" s="317" t="s">
        <v>2</v>
      </c>
      <c r="C18" s="314"/>
      <c r="D18" s="315"/>
      <c r="E18" s="315"/>
      <c r="F18" s="315"/>
      <c r="G18" s="315"/>
      <c r="H18" s="315">
        <v>1</v>
      </c>
      <c r="I18" s="254">
        <f t="shared" si="11"/>
        <v>0.99999999999999911</v>
      </c>
      <c r="J18" s="314"/>
      <c r="K18" s="315"/>
      <c r="L18" s="315"/>
      <c r="M18" s="315"/>
      <c r="N18" s="315"/>
      <c r="O18" s="315"/>
      <c r="P18" s="254">
        <f t="shared" si="12"/>
        <v>0</v>
      </c>
      <c r="Q18" s="314"/>
      <c r="R18" s="315"/>
      <c r="S18" s="315"/>
      <c r="T18" s="315"/>
      <c r="U18" s="315"/>
      <c r="V18" s="315"/>
      <c r="W18" s="254">
        <f t="shared" si="13"/>
        <v>0</v>
      </c>
      <c r="X18" s="314"/>
      <c r="Y18" s="315">
        <v>1</v>
      </c>
      <c r="Z18" s="315"/>
      <c r="AA18" s="315"/>
      <c r="AB18" s="315"/>
      <c r="AC18" s="315"/>
      <c r="AD18" s="254">
        <f t="shared" si="14"/>
        <v>1.7500000000000004</v>
      </c>
      <c r="AE18" s="314"/>
      <c r="AF18" s="315"/>
      <c r="AG18" s="315"/>
      <c r="AH18" s="315"/>
      <c r="AI18" s="315"/>
      <c r="AJ18" s="315"/>
      <c r="AK18" s="254">
        <f t="shared" si="15"/>
        <v>0</v>
      </c>
      <c r="AL18" s="255">
        <f t="shared" si="9"/>
        <v>0</v>
      </c>
      <c r="AM18" s="256">
        <f t="shared" si="10"/>
        <v>2.7499999999999996</v>
      </c>
      <c r="AN18" s="257">
        <f t="shared" si="16"/>
        <v>2.7499999999999996</v>
      </c>
      <c r="AO18"/>
      <c r="AP18"/>
    </row>
    <row r="19" spans="1:43" s="46" customFormat="1" ht="20.100000000000001" customHeight="1">
      <c r="A19" s="253" t="s">
        <v>81</v>
      </c>
      <c r="B19" s="317" t="s">
        <v>2</v>
      </c>
      <c r="C19" s="314"/>
      <c r="D19" s="315"/>
      <c r="E19" s="315"/>
      <c r="F19" s="315"/>
      <c r="G19" s="315">
        <v>1</v>
      </c>
      <c r="H19" s="315"/>
      <c r="I19" s="254">
        <f t="shared" si="11"/>
        <v>0.91666666666666874</v>
      </c>
      <c r="J19" s="314"/>
      <c r="K19" s="315"/>
      <c r="L19" s="315"/>
      <c r="M19" s="315"/>
      <c r="N19" s="315"/>
      <c r="O19" s="315"/>
      <c r="P19" s="254">
        <f t="shared" si="12"/>
        <v>0</v>
      </c>
      <c r="Q19" s="314"/>
      <c r="R19" s="315"/>
      <c r="S19" s="315"/>
      <c r="T19" s="315"/>
      <c r="U19" s="315"/>
      <c r="V19" s="315"/>
      <c r="W19" s="254">
        <f t="shared" si="13"/>
        <v>0</v>
      </c>
      <c r="X19" s="314"/>
      <c r="Y19" s="315"/>
      <c r="Z19" s="315"/>
      <c r="AA19" s="315"/>
      <c r="AB19" s="315">
        <v>1</v>
      </c>
      <c r="AC19" s="315"/>
      <c r="AD19" s="254">
        <f t="shared" si="14"/>
        <v>0.91666666666666874</v>
      </c>
      <c r="AE19" s="314"/>
      <c r="AF19" s="315"/>
      <c r="AG19" s="315"/>
      <c r="AH19" s="315"/>
      <c r="AI19" s="315"/>
      <c r="AJ19" s="315"/>
      <c r="AK19" s="254">
        <f t="shared" si="15"/>
        <v>0</v>
      </c>
      <c r="AL19" s="255">
        <f t="shared" si="9"/>
        <v>0</v>
      </c>
      <c r="AM19" s="256">
        <f t="shared" si="10"/>
        <v>1.8333333333333375</v>
      </c>
      <c r="AN19" s="257">
        <f t="shared" si="16"/>
        <v>1.8333333333333375</v>
      </c>
      <c r="AO19"/>
      <c r="AP19"/>
    </row>
    <row r="20" spans="1:43" s="46" customFormat="1" ht="20.100000000000001" customHeight="1">
      <c r="A20" s="253" t="s">
        <v>82</v>
      </c>
      <c r="B20" s="317" t="s">
        <v>2</v>
      </c>
      <c r="C20" s="314"/>
      <c r="D20" s="315"/>
      <c r="E20" s="315"/>
      <c r="F20" s="315"/>
      <c r="G20" s="315"/>
      <c r="H20" s="315"/>
      <c r="I20" s="254">
        <f t="shared" si="11"/>
        <v>0</v>
      </c>
      <c r="J20" s="314"/>
      <c r="K20" s="315"/>
      <c r="L20" s="315"/>
      <c r="M20" s="315"/>
      <c r="N20" s="315"/>
      <c r="O20" s="315"/>
      <c r="P20" s="254">
        <f t="shared" si="12"/>
        <v>0</v>
      </c>
      <c r="Q20" s="314"/>
      <c r="R20" s="315"/>
      <c r="S20" s="315"/>
      <c r="T20" s="315"/>
      <c r="U20" s="315"/>
      <c r="V20" s="315"/>
      <c r="W20" s="254">
        <f t="shared" si="13"/>
        <v>0</v>
      </c>
      <c r="X20" s="314"/>
      <c r="Y20" s="315"/>
      <c r="Z20" s="315"/>
      <c r="AA20" s="315"/>
      <c r="AB20" s="315"/>
      <c r="AC20" s="315"/>
      <c r="AD20" s="254">
        <f t="shared" si="14"/>
        <v>0</v>
      </c>
      <c r="AE20" s="314"/>
      <c r="AF20" s="315"/>
      <c r="AG20" s="315"/>
      <c r="AH20" s="315"/>
      <c r="AI20" s="315"/>
      <c r="AJ20" s="315"/>
      <c r="AK20" s="254">
        <f t="shared" si="15"/>
        <v>0</v>
      </c>
      <c r="AL20" s="255">
        <f t="shared" si="9"/>
        <v>0</v>
      </c>
      <c r="AM20" s="256">
        <f t="shared" si="10"/>
        <v>0</v>
      </c>
      <c r="AN20" s="257">
        <f t="shared" si="16"/>
        <v>0</v>
      </c>
      <c r="AO20"/>
      <c r="AP20"/>
    </row>
    <row r="21" spans="1:43" s="46" customFormat="1" ht="20.100000000000001" customHeight="1">
      <c r="A21" s="253" t="s">
        <v>83</v>
      </c>
      <c r="B21" s="317" t="s">
        <v>2</v>
      </c>
      <c r="C21" s="314"/>
      <c r="D21" s="315"/>
      <c r="E21" s="315"/>
      <c r="F21" s="315"/>
      <c r="G21" s="315">
        <v>1</v>
      </c>
      <c r="H21" s="315"/>
      <c r="I21" s="254">
        <f t="shared" si="11"/>
        <v>0.91666666666666874</v>
      </c>
      <c r="J21" s="314"/>
      <c r="K21" s="315"/>
      <c r="L21" s="315"/>
      <c r="M21" s="315"/>
      <c r="N21" s="315"/>
      <c r="O21" s="315"/>
      <c r="P21" s="254">
        <f t="shared" si="12"/>
        <v>0</v>
      </c>
      <c r="Q21" s="314"/>
      <c r="R21" s="315"/>
      <c r="S21" s="315"/>
      <c r="T21" s="315"/>
      <c r="U21" s="315"/>
      <c r="V21" s="315"/>
      <c r="W21" s="254">
        <f t="shared" si="13"/>
        <v>0</v>
      </c>
      <c r="X21" s="314"/>
      <c r="Y21" s="315"/>
      <c r="Z21" s="315"/>
      <c r="AA21" s="315"/>
      <c r="AB21" s="315">
        <v>1</v>
      </c>
      <c r="AC21" s="315"/>
      <c r="AD21" s="254">
        <f t="shared" si="14"/>
        <v>0.91666666666666874</v>
      </c>
      <c r="AE21" s="314"/>
      <c r="AF21" s="315"/>
      <c r="AG21" s="315"/>
      <c r="AH21" s="315"/>
      <c r="AI21" s="315"/>
      <c r="AJ21" s="315"/>
      <c r="AK21" s="254">
        <f t="shared" si="15"/>
        <v>0</v>
      </c>
      <c r="AL21" s="255">
        <f t="shared" si="9"/>
        <v>0</v>
      </c>
      <c r="AM21" s="256">
        <f t="shared" si="10"/>
        <v>1.8333333333333375</v>
      </c>
      <c r="AN21" s="257">
        <f t="shared" si="16"/>
        <v>1.8333333333333375</v>
      </c>
      <c r="AO21"/>
      <c r="AP21"/>
    </row>
    <row r="22" spans="1:43" s="127" customFormat="1" ht="20.100000000000001" customHeight="1">
      <c r="A22" s="258"/>
      <c r="B22" s="259"/>
      <c r="C22" s="260"/>
      <c r="D22" s="261"/>
      <c r="E22" s="261"/>
      <c r="F22" s="261"/>
      <c r="G22" s="261"/>
      <c r="H22" s="261"/>
      <c r="I22" s="262"/>
      <c r="J22" s="260"/>
      <c r="K22" s="261"/>
      <c r="L22" s="261"/>
      <c r="M22" s="261"/>
      <c r="N22" s="261"/>
      <c r="O22" s="261"/>
      <c r="P22" s="262"/>
      <c r="Q22" s="260"/>
      <c r="R22" s="261"/>
      <c r="S22" s="261"/>
      <c r="T22" s="261"/>
      <c r="U22" s="261"/>
      <c r="V22" s="261"/>
      <c r="W22" s="262"/>
      <c r="X22" s="260"/>
      <c r="Y22" s="261"/>
      <c r="Z22" s="261"/>
      <c r="AA22" s="261"/>
      <c r="AB22" s="261"/>
      <c r="AC22" s="261"/>
      <c r="AD22" s="262"/>
      <c r="AE22" s="260"/>
      <c r="AF22" s="261"/>
      <c r="AG22" s="261"/>
      <c r="AH22" s="261"/>
      <c r="AI22" s="261"/>
      <c r="AJ22" s="261"/>
      <c r="AK22" s="262"/>
      <c r="AL22" s="263"/>
      <c r="AM22" s="264"/>
      <c r="AN22" s="265"/>
      <c r="AO22" s="124"/>
      <c r="AP22" s="124"/>
    </row>
    <row r="23" spans="1:43" s="57" customFormat="1" ht="21" customHeight="1">
      <c r="A23" s="246" t="s">
        <v>70</v>
      </c>
      <c r="B23" s="247"/>
      <c r="C23" s="266"/>
      <c r="D23" s="267"/>
      <c r="E23" s="267"/>
      <c r="F23" s="267"/>
      <c r="G23" s="267"/>
      <c r="H23" s="267"/>
      <c r="I23" s="268"/>
      <c r="J23" s="266"/>
      <c r="K23" s="267"/>
      <c r="L23" s="267"/>
      <c r="M23" s="267"/>
      <c r="N23" s="267"/>
      <c r="O23" s="267"/>
      <c r="P23" s="268"/>
      <c r="Q23" s="266"/>
      <c r="R23" s="267"/>
      <c r="S23" s="267"/>
      <c r="T23" s="267"/>
      <c r="U23" s="267"/>
      <c r="V23" s="267"/>
      <c r="W23" s="268"/>
      <c r="X23" s="266"/>
      <c r="Y23" s="267"/>
      <c r="Z23" s="267"/>
      <c r="AA23" s="267"/>
      <c r="AB23" s="267"/>
      <c r="AC23" s="267"/>
      <c r="AD23" s="268"/>
      <c r="AE23" s="266"/>
      <c r="AF23" s="267"/>
      <c r="AG23" s="267"/>
      <c r="AH23" s="267"/>
      <c r="AI23" s="267"/>
      <c r="AJ23" s="267"/>
      <c r="AK23" s="268"/>
      <c r="AL23" s="266"/>
      <c r="AM23" s="267"/>
      <c r="AN23" s="269"/>
      <c r="AO23" s="56"/>
      <c r="AP23" s="56"/>
    </row>
    <row r="24" spans="1:43" s="29" customFormat="1" ht="24.95" customHeight="1">
      <c r="A24" s="270" t="s">
        <v>71</v>
      </c>
      <c r="B24" s="271"/>
      <c r="C24" s="272"/>
      <c r="D24" s="273"/>
      <c r="E24" s="273"/>
      <c r="F24" s="273"/>
      <c r="G24" s="273"/>
      <c r="H24" s="273"/>
      <c r="I24" s="254">
        <f>SUM(I11:I21)</f>
        <v>11.25</v>
      </c>
      <c r="J24" s="272"/>
      <c r="K24" s="273"/>
      <c r="L24" s="273"/>
      <c r="M24" s="273"/>
      <c r="N24" s="273"/>
      <c r="O24" s="273"/>
      <c r="P24" s="254">
        <f>SUM(P11:P21)</f>
        <v>0</v>
      </c>
      <c r="Q24" s="272"/>
      <c r="R24" s="273"/>
      <c r="S24" s="273"/>
      <c r="T24" s="273"/>
      <c r="U24" s="273"/>
      <c r="V24" s="273"/>
      <c r="W24" s="254">
        <f>SUM(W11:W21)</f>
        <v>0</v>
      </c>
      <c r="X24" s="272"/>
      <c r="Y24" s="273"/>
      <c r="Z24" s="273"/>
      <c r="AA24" s="273"/>
      <c r="AB24" s="273"/>
      <c r="AC24" s="273"/>
      <c r="AD24" s="254">
        <f>SUM(AD11:AD21)</f>
        <v>12.583333333333336</v>
      </c>
      <c r="AE24" s="272"/>
      <c r="AF24" s="273"/>
      <c r="AG24" s="273"/>
      <c r="AH24" s="273"/>
      <c r="AI24" s="273"/>
      <c r="AJ24" s="273"/>
      <c r="AK24" s="254">
        <f>SUM(AK11:AK21)</f>
        <v>0</v>
      </c>
      <c r="AL24" s="255">
        <f>SUM(AL11:AL21)</f>
        <v>14.66666666666667</v>
      </c>
      <c r="AM24" s="256">
        <f>SUM(AM11:AM21)</f>
        <v>9.166666666666675</v>
      </c>
      <c r="AN24" s="257">
        <f>SUM(AN11:AN21)</f>
        <v>23.833333333333343</v>
      </c>
      <c r="AO24"/>
      <c r="AP24"/>
      <c r="AQ24" s="52"/>
    </row>
    <row r="25" spans="1:43" s="54" customFormat="1" ht="24.95" customHeight="1">
      <c r="A25" s="270" t="s">
        <v>152</v>
      </c>
      <c r="B25" s="274"/>
      <c r="C25" s="275"/>
      <c r="D25" s="276"/>
      <c r="E25" s="276"/>
      <c r="F25" s="276"/>
      <c r="G25" s="276"/>
      <c r="H25" s="276"/>
      <c r="I25" s="277"/>
      <c r="J25" s="278"/>
      <c r="K25" s="279"/>
      <c r="L25" s="279"/>
      <c r="M25" s="279"/>
      <c r="N25" s="279"/>
      <c r="O25" s="279"/>
      <c r="P25" s="277"/>
      <c r="Q25" s="278"/>
      <c r="R25" s="279"/>
      <c r="S25" s="279"/>
      <c r="T25" s="279"/>
      <c r="U25" s="279"/>
      <c r="V25" s="279"/>
      <c r="W25" s="277"/>
      <c r="X25" s="278"/>
      <c r="Y25" s="279"/>
      <c r="Z25" s="279"/>
      <c r="AA25" s="279"/>
      <c r="AB25" s="279"/>
      <c r="AC25" s="279"/>
      <c r="AD25" s="277"/>
      <c r="AE25" s="278"/>
      <c r="AF25" s="279"/>
      <c r="AG25" s="279"/>
      <c r="AH25" s="279"/>
      <c r="AI25" s="279"/>
      <c r="AJ25" s="279"/>
      <c r="AK25" s="277"/>
      <c r="AL25" s="280"/>
      <c r="AM25" s="281"/>
      <c r="AN25" s="282">
        <f>AL24/AN24</f>
        <v>0.61538461538461531</v>
      </c>
      <c r="AO25"/>
      <c r="AP25"/>
      <c r="AQ25" s="53"/>
    </row>
    <row r="26" spans="1:43" s="29" customFormat="1" ht="21" customHeight="1">
      <c r="A26" s="283" t="s">
        <v>192</v>
      </c>
      <c r="B26" s="271"/>
      <c r="C26" s="284">
        <f t="shared" ref="C26:H26" si="17">IF(C8="","",C7/SUM(C11:C21))</f>
        <v>6</v>
      </c>
      <c r="D26" s="285">
        <f t="shared" si="17"/>
        <v>6</v>
      </c>
      <c r="E26" s="285" t="str">
        <f t="shared" si="17"/>
        <v/>
      </c>
      <c r="F26" s="285">
        <f t="shared" si="17"/>
        <v>4.333333333333333</v>
      </c>
      <c r="G26" s="285">
        <f t="shared" si="17"/>
        <v>3.6666666666666665</v>
      </c>
      <c r="H26" s="286">
        <f t="shared" si="17"/>
        <v>4</v>
      </c>
      <c r="I26" s="255">
        <f>IF(I8=0,"",AVERAGE(C26:H26))</f>
        <v>4.8</v>
      </c>
      <c r="J26" s="284" t="str">
        <f t="shared" ref="J26:O26" si="18">IF(J8="","",J7/SUM(J11:J21))</f>
        <v/>
      </c>
      <c r="K26" s="285" t="str">
        <f t="shared" si="18"/>
        <v/>
      </c>
      <c r="L26" s="285" t="str">
        <f t="shared" si="18"/>
        <v/>
      </c>
      <c r="M26" s="285" t="str">
        <f t="shared" si="18"/>
        <v/>
      </c>
      <c r="N26" s="285" t="str">
        <f t="shared" si="18"/>
        <v/>
      </c>
      <c r="O26" s="286" t="str">
        <f t="shared" si="18"/>
        <v/>
      </c>
      <c r="P26" s="255" t="str">
        <f>IF(P8=0,"",AVERAGE(J26:O26))</f>
        <v/>
      </c>
      <c r="Q26" s="284" t="str">
        <f t="shared" ref="Q26:V26" si="19">IF(Q8="","",Q7/SUM(Q11:Q21))</f>
        <v/>
      </c>
      <c r="R26" s="285" t="str">
        <f t="shared" si="19"/>
        <v/>
      </c>
      <c r="S26" s="285" t="str">
        <f t="shared" si="19"/>
        <v/>
      </c>
      <c r="T26" s="285" t="str">
        <f t="shared" si="19"/>
        <v/>
      </c>
      <c r="U26" s="285" t="str">
        <f t="shared" si="19"/>
        <v/>
      </c>
      <c r="V26" s="286" t="str">
        <f t="shared" si="19"/>
        <v/>
      </c>
      <c r="W26" s="287" t="str">
        <f>IF(W8=0,"",AVERAGE(Q26:V26))</f>
        <v/>
      </c>
      <c r="X26" s="286">
        <f t="shared" ref="X26:AC26" si="20">IF(X8="","",X7/SUM(X11:X21))</f>
        <v>5</v>
      </c>
      <c r="Y26" s="285">
        <f t="shared" si="20"/>
        <v>4</v>
      </c>
      <c r="Z26" s="285">
        <f t="shared" si="20"/>
        <v>7</v>
      </c>
      <c r="AA26" s="285">
        <f t="shared" si="20"/>
        <v>8</v>
      </c>
      <c r="AB26" s="285">
        <f t="shared" si="20"/>
        <v>2.6666666666666665</v>
      </c>
      <c r="AC26" s="286">
        <f t="shared" si="20"/>
        <v>4</v>
      </c>
      <c r="AD26" s="287">
        <f>IF(AD8=0,"",AVERAGE(X26:AC26))</f>
        <v>5.1111111111111116</v>
      </c>
      <c r="AE26" s="286" t="str">
        <f t="shared" ref="AE26:AJ26" si="21">IF(AE8="","",AE7/SUM(AE11:AE21))</f>
        <v/>
      </c>
      <c r="AF26" s="285" t="str">
        <f t="shared" si="21"/>
        <v/>
      </c>
      <c r="AG26" s="285" t="str">
        <f t="shared" si="21"/>
        <v/>
      </c>
      <c r="AH26" s="285" t="str">
        <f t="shared" si="21"/>
        <v/>
      </c>
      <c r="AI26" s="285" t="str">
        <f t="shared" si="21"/>
        <v/>
      </c>
      <c r="AJ26" s="286" t="str">
        <f t="shared" si="21"/>
        <v/>
      </c>
      <c r="AK26" s="288" t="str">
        <f>IF(AK8=0,"",AVERAGE(AE26:AJ26))</f>
        <v/>
      </c>
      <c r="AL26" s="289"/>
      <c r="AM26" s="290"/>
      <c r="AN26" s="291">
        <f>AVERAGE(I26,P26,W26,AD26,AK26)</f>
        <v>4.9555555555555557</v>
      </c>
      <c r="AO26"/>
      <c r="AP26"/>
    </row>
    <row r="27" spans="1:43" s="36" customFormat="1" ht="24.95" customHeight="1">
      <c r="A27" s="292" t="s">
        <v>72</v>
      </c>
      <c r="B27" s="293"/>
      <c r="C27" s="284">
        <f t="shared" ref="C27:H27" si="22">IF(C8="","",C7*C6)</f>
        <v>5.9999999999999947</v>
      </c>
      <c r="D27" s="285">
        <f t="shared" si="22"/>
        <v>21.000000000000007</v>
      </c>
      <c r="E27" s="285" t="str">
        <f t="shared" si="22"/>
        <v/>
      </c>
      <c r="F27" s="285">
        <f t="shared" si="22"/>
        <v>12.999999999999989</v>
      </c>
      <c r="G27" s="285">
        <f t="shared" si="22"/>
        <v>10.083333333333357</v>
      </c>
      <c r="H27" s="286">
        <f t="shared" si="22"/>
        <v>3.9999999999999964</v>
      </c>
      <c r="I27" s="288">
        <f>IF(I8=0,0,SUM(C27:H27))</f>
        <v>54.083333333333343</v>
      </c>
      <c r="J27" s="284" t="str">
        <f t="shared" ref="J27:O27" si="23">IF(J8="","",J7*J6)</f>
        <v/>
      </c>
      <c r="K27" s="285" t="str">
        <f t="shared" si="23"/>
        <v/>
      </c>
      <c r="L27" s="285" t="str">
        <f t="shared" si="23"/>
        <v/>
      </c>
      <c r="M27" s="285" t="str">
        <f t="shared" si="23"/>
        <v/>
      </c>
      <c r="N27" s="285" t="str">
        <f t="shared" si="23"/>
        <v/>
      </c>
      <c r="O27" s="286" t="str">
        <f t="shared" si="23"/>
        <v/>
      </c>
      <c r="P27" s="288">
        <f>IF(P8=0,0,SUM(J27:O27))</f>
        <v>0</v>
      </c>
      <c r="Q27" s="284" t="str">
        <f t="shared" ref="Q27:V27" si="24">IF(Q8="","",Q7*Q6)</f>
        <v/>
      </c>
      <c r="R27" s="285" t="str">
        <f t="shared" si="24"/>
        <v/>
      </c>
      <c r="S27" s="285" t="str">
        <f t="shared" si="24"/>
        <v/>
      </c>
      <c r="T27" s="285" t="str">
        <f t="shared" si="24"/>
        <v/>
      </c>
      <c r="U27" s="285" t="str">
        <f t="shared" si="24"/>
        <v/>
      </c>
      <c r="V27" s="286" t="str">
        <f t="shared" si="24"/>
        <v/>
      </c>
      <c r="W27" s="287">
        <f>IF(W8=0,0,SUM(Q27:V27))</f>
        <v>0</v>
      </c>
      <c r="X27" s="286">
        <f t="shared" ref="X27:AC27" si="25">IF(X8="","",X7*X6)</f>
        <v>4.9999999999999956</v>
      </c>
      <c r="Y27" s="285">
        <f t="shared" si="25"/>
        <v>21.000000000000007</v>
      </c>
      <c r="Z27" s="285">
        <f t="shared" si="25"/>
        <v>11.083333333333332</v>
      </c>
      <c r="AA27" s="285">
        <f t="shared" si="25"/>
        <v>7.9999999999999929</v>
      </c>
      <c r="AB27" s="285">
        <f t="shared" si="25"/>
        <v>7.3333333333333499</v>
      </c>
      <c r="AC27" s="286">
        <f t="shared" si="25"/>
        <v>3.9999999999999964</v>
      </c>
      <c r="AD27" s="287">
        <f>IF(AD8=0,0,SUM(X27:AC27))</f>
        <v>56.416666666666671</v>
      </c>
      <c r="AE27" s="286" t="str">
        <f t="shared" ref="AE27:AJ27" si="26">IF(AE8="","",AE7*AE6)</f>
        <v/>
      </c>
      <c r="AF27" s="285" t="str">
        <f t="shared" si="26"/>
        <v/>
      </c>
      <c r="AG27" s="285" t="str">
        <f t="shared" si="26"/>
        <v/>
      </c>
      <c r="AH27" s="285" t="str">
        <f t="shared" si="26"/>
        <v/>
      </c>
      <c r="AI27" s="285" t="str">
        <f t="shared" si="26"/>
        <v/>
      </c>
      <c r="AJ27" s="286" t="str">
        <f t="shared" si="26"/>
        <v/>
      </c>
      <c r="AK27" s="288">
        <f>IF(AK8=0,0,SUM(AE27:AJ27))</f>
        <v>0</v>
      </c>
      <c r="AL27" s="289"/>
      <c r="AM27" s="290"/>
      <c r="AN27" s="291">
        <f>SUM(I27,P27,W27,AD27,AK27)</f>
        <v>110.50000000000001</v>
      </c>
      <c r="AO27"/>
      <c r="AP27"/>
    </row>
    <row r="28" spans="1:43" s="29" customFormat="1" ht="24.95" customHeight="1">
      <c r="A28" s="294" t="s">
        <v>197</v>
      </c>
      <c r="B28" s="271"/>
      <c r="C28" s="295"/>
      <c r="D28" s="296">
        <f>IF(D8="","",D7)</f>
        <v>12</v>
      </c>
      <c r="E28" s="297"/>
      <c r="F28" s="297"/>
      <c r="G28" s="297"/>
      <c r="H28" s="297"/>
      <c r="I28" s="298"/>
      <c r="J28" s="295"/>
      <c r="K28" s="296" t="str">
        <f>IF(K8="","",K7)</f>
        <v/>
      </c>
      <c r="L28" s="297"/>
      <c r="M28" s="297"/>
      <c r="N28" s="297"/>
      <c r="O28" s="297"/>
      <c r="P28" s="298"/>
      <c r="Q28" s="295"/>
      <c r="R28" s="296" t="str">
        <f>IF(R8="","",R7)</f>
        <v/>
      </c>
      <c r="S28" s="297"/>
      <c r="T28" s="297"/>
      <c r="U28" s="297"/>
      <c r="V28" s="297"/>
      <c r="W28" s="298"/>
      <c r="X28" s="295"/>
      <c r="Y28" s="296">
        <f>IF(Y8="","",Y7)</f>
        <v>12</v>
      </c>
      <c r="Z28" s="297"/>
      <c r="AA28" s="297"/>
      <c r="AB28" s="297"/>
      <c r="AC28" s="297"/>
      <c r="AD28" s="299"/>
      <c r="AE28" s="295"/>
      <c r="AF28" s="296" t="str">
        <f>IF(AF8="","",AF7)</f>
        <v/>
      </c>
      <c r="AG28" s="297"/>
      <c r="AH28" s="297"/>
      <c r="AI28" s="297"/>
      <c r="AJ28" s="297"/>
      <c r="AK28" s="298"/>
      <c r="AL28" s="300"/>
      <c r="AM28" s="301"/>
      <c r="AN28" s="302">
        <f>SUM(C28:AJ28)</f>
        <v>24</v>
      </c>
      <c r="AO28"/>
      <c r="AP28"/>
    </row>
    <row r="29" spans="1:43" s="29" customFormat="1" ht="21" customHeight="1">
      <c r="A29" s="294" t="s">
        <v>73</v>
      </c>
      <c r="B29" s="271"/>
      <c r="C29" s="295"/>
      <c r="D29" s="296">
        <f>IF(D8="","",SUM(D11:D21))</f>
        <v>2</v>
      </c>
      <c r="E29" s="297"/>
      <c r="F29" s="297"/>
      <c r="G29" s="297"/>
      <c r="H29" s="297"/>
      <c r="I29" s="298"/>
      <c r="J29" s="295"/>
      <c r="K29" s="296" t="str">
        <f>IF(K8="","",SUM(K11:K21))</f>
        <v/>
      </c>
      <c r="L29" s="297"/>
      <c r="M29" s="297"/>
      <c r="N29" s="297"/>
      <c r="O29" s="297"/>
      <c r="P29" s="298"/>
      <c r="Q29" s="295"/>
      <c r="R29" s="296" t="str">
        <f>IF(R8="","",SUM(R11:R21))</f>
        <v/>
      </c>
      <c r="S29" s="297"/>
      <c r="T29" s="297"/>
      <c r="U29" s="297"/>
      <c r="V29" s="297"/>
      <c r="W29" s="298"/>
      <c r="X29" s="295"/>
      <c r="Y29" s="296">
        <f>IF(Y8="","",SUM(Y11:Y21))</f>
        <v>3</v>
      </c>
      <c r="Z29" s="297"/>
      <c r="AA29" s="297"/>
      <c r="AB29" s="297"/>
      <c r="AC29" s="297"/>
      <c r="AD29" s="299"/>
      <c r="AE29" s="295"/>
      <c r="AF29" s="296" t="str">
        <f>IF(AF8="","",SUM(AF11:AF21))</f>
        <v/>
      </c>
      <c r="AG29" s="297"/>
      <c r="AH29" s="297"/>
      <c r="AI29" s="297"/>
      <c r="AJ29" s="297"/>
      <c r="AK29" s="298"/>
      <c r="AL29" s="300"/>
      <c r="AM29" s="301"/>
      <c r="AN29" s="302">
        <f>SUM(C29:AJ29)</f>
        <v>5</v>
      </c>
      <c r="AO29"/>
      <c r="AP29"/>
    </row>
    <row r="30" spans="1:43" s="123" customFormat="1" ht="12">
      <c r="AO30" s="124"/>
      <c r="AP30" s="124"/>
    </row>
    <row r="31" spans="1:43" s="123" customFormat="1" ht="12">
      <c r="AO31" s="124"/>
      <c r="AP31" s="124"/>
    </row>
    <row r="32" spans="1:43" s="29" customFormat="1" ht="12">
      <c r="A32" s="100" t="s">
        <v>85</v>
      </c>
      <c r="B32" s="29" t="s">
        <v>86</v>
      </c>
      <c r="AO32"/>
      <c r="AP32"/>
    </row>
    <row r="33" spans="1:42" s="29" customFormat="1" ht="12">
      <c r="B33" s="29" t="s">
        <v>87</v>
      </c>
      <c r="AO33"/>
      <c r="AP33"/>
    </row>
    <row r="34" spans="1:42" s="29" customFormat="1" ht="12">
      <c r="AG34" s="55"/>
      <c r="AO34"/>
      <c r="AP34"/>
    </row>
    <row r="35" spans="1:42" s="29" customFormat="1" ht="12">
      <c r="AO35"/>
      <c r="AP35"/>
    </row>
    <row r="36" spans="1:42" s="29" customFormat="1">
      <c r="A36" s="24"/>
      <c r="AO36"/>
      <c r="AP36"/>
    </row>
    <row r="37" spans="1:42" s="29" customFormat="1" ht="12">
      <c r="AO37"/>
      <c r="AP37"/>
    </row>
    <row r="38" spans="1:42" s="29" customFormat="1" ht="12">
      <c r="AO38"/>
      <c r="AP38"/>
    </row>
    <row r="39" spans="1:42" s="29" customFormat="1" ht="12">
      <c r="AO39"/>
      <c r="AP39"/>
    </row>
    <row r="40" spans="1:42" s="29" customFormat="1" ht="12">
      <c r="AO40"/>
      <c r="AP40"/>
    </row>
    <row r="41" spans="1:42" s="29" customFormat="1" ht="12">
      <c r="AO41"/>
      <c r="AP41"/>
    </row>
    <row r="42" spans="1:42" s="29" customFormat="1" ht="12">
      <c r="AO42"/>
      <c r="AP42"/>
    </row>
    <row r="43" spans="1:42" s="29" customFormat="1" ht="12">
      <c r="AO43"/>
      <c r="AP43"/>
    </row>
    <row r="44" spans="1:42" s="29" customFormat="1" ht="12">
      <c r="AO44"/>
      <c r="AP44"/>
    </row>
    <row r="45" spans="1:42" s="29" customFormat="1" ht="12">
      <c r="AO45"/>
      <c r="AP45"/>
    </row>
    <row r="46" spans="1:42" s="29" customFormat="1" ht="12">
      <c r="AO46"/>
      <c r="AP46"/>
    </row>
    <row r="47" spans="1:42" s="29" customFormat="1" ht="12">
      <c r="AO47"/>
      <c r="AP47"/>
    </row>
    <row r="48" spans="1:42" s="29" customFormat="1" ht="12">
      <c r="AO48"/>
      <c r="AP48"/>
    </row>
    <row r="49" spans="41:42" s="29" customFormat="1" ht="12">
      <c r="AO49"/>
      <c r="AP49"/>
    </row>
    <row r="50" spans="41:42" s="29" customFormat="1" ht="12">
      <c r="AO50"/>
      <c r="AP50"/>
    </row>
    <row r="51" spans="41:42" s="29" customFormat="1" ht="12">
      <c r="AO51"/>
      <c r="AP51"/>
    </row>
    <row r="52" spans="41:42" s="29" customFormat="1" ht="12">
      <c r="AO52"/>
      <c r="AP52"/>
    </row>
    <row r="53" spans="41:42" s="29" customFormat="1" ht="12">
      <c r="AO53"/>
      <c r="AP53"/>
    </row>
    <row r="54" spans="41:42" s="29" customFormat="1" ht="12">
      <c r="AO54"/>
      <c r="AP54"/>
    </row>
    <row r="55" spans="41:42" s="29" customFormat="1" ht="12">
      <c r="AO55"/>
      <c r="AP55"/>
    </row>
    <row r="56" spans="41:42" s="29" customFormat="1" ht="12">
      <c r="AO56"/>
      <c r="AP56"/>
    </row>
    <row r="57" spans="41:42" s="29" customFormat="1" ht="12">
      <c r="AO57"/>
      <c r="AP57"/>
    </row>
    <row r="58" spans="41:42" s="29" customFormat="1" ht="12">
      <c r="AO58"/>
      <c r="AP58"/>
    </row>
    <row r="59" spans="41:42" s="29" customFormat="1" ht="12">
      <c r="AO59"/>
      <c r="AP59"/>
    </row>
    <row r="60" spans="41:42" s="29" customFormat="1" ht="12">
      <c r="AO60"/>
      <c r="AP60"/>
    </row>
    <row r="61" spans="41:42" s="29" customFormat="1" ht="12">
      <c r="AO61"/>
      <c r="AP61"/>
    </row>
    <row r="62" spans="41:42" s="29" customFormat="1" ht="12">
      <c r="AO62"/>
      <c r="AP62"/>
    </row>
    <row r="63" spans="41:42" s="29" customFormat="1" ht="12">
      <c r="AO63"/>
      <c r="AP63"/>
    </row>
    <row r="64" spans="41:42" s="29" customFormat="1" ht="12">
      <c r="AO64"/>
      <c r="AP64"/>
    </row>
    <row r="65" spans="41:42" s="29" customFormat="1" ht="12">
      <c r="AO65"/>
      <c r="AP65"/>
    </row>
    <row r="66" spans="41:42" s="29" customFormat="1" ht="12">
      <c r="AO66"/>
      <c r="AP66"/>
    </row>
    <row r="67" spans="41:42" s="29" customFormat="1" ht="12">
      <c r="AO67"/>
      <c r="AP67"/>
    </row>
    <row r="68" spans="41:42" s="29" customFormat="1" ht="12">
      <c r="AO68"/>
      <c r="AP68"/>
    </row>
  </sheetData>
  <sheetProtection password="CCBC" sheet="1"/>
  <customSheetViews>
    <customSheetView guid="{48BF2AC7-6055-432C-8BF0-71FB56F968AB}" scale="85" showGridLines="0" fitToPage="1" hiddenColumns="1">
      <pane xSplit="6" ySplit="7" topLeftCell="G8" activePane="bottomRight" state="frozen"/>
      <selection pane="bottomRight" activeCell="A2" sqref="A2"/>
      <pageMargins left="0.59055118110236227" right="0.39370078740157483" top="0.78740157480314965" bottom="0.59055118110236227" header="0.51181102362204722" footer="0.51181102362204722"/>
      <pageSetup paperSize="9" scale="65" orientation="landscape" r:id="rId1"/>
      <headerFooter alignWithMargins="0"/>
    </customSheetView>
  </customSheetViews>
  <mergeCells count="5">
    <mergeCell ref="I4:I5"/>
    <mergeCell ref="P4:P5"/>
    <mergeCell ref="W4:W5"/>
    <mergeCell ref="AD4:AD5"/>
    <mergeCell ref="AK4:AK5"/>
  </mergeCells>
  <phoneticPr fontId="2"/>
  <dataValidations yWindow="455" count="3">
    <dataValidation allowBlank="1" showInputMessage="1" showErrorMessage="1" prompt="Enregistrer les horaires des modules sous &quot;lundi&quot;; ils seront ensuite reportés sur les cinq jours de la semaine_x000a_" sqref="A4"/>
    <dataValidation allowBlank="1" showInputMessage="1" showErrorMessage="1" prompt="Enregistrer les horaires des modules sous &quot;lundi&quot;; ils seront ensuite reportés sur les cinq jours de la semaine" sqref="A5"/>
    <dataValidation allowBlank="1" showInputMessage="1" showErrorMessage="1" prompt="Pour que les valeurs soient prises en compte dans l'établissement du budget, vous devez absolument mettre un X dans la case en question._x000a__x000a_" sqref="A8"/>
  </dataValidations>
  <pageMargins left="0.59055118110236227" right="0.39370078740157483" top="0.78740157480314965" bottom="0.59055118110236227" header="0.51181102362204722" footer="0.51181102362204722"/>
  <pageSetup paperSize="9" scale="65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Q68"/>
  <sheetViews>
    <sheetView showGridLines="0" zoomScale="85" zoomScaleNormal="85" workbookViewId="0">
      <selection activeCell="V34" sqref="V34"/>
    </sheetView>
  </sheetViews>
  <sheetFormatPr baseColWidth="10" defaultColWidth="10.85546875" defaultRowHeight="12.75"/>
  <cols>
    <col min="1" max="1" width="26" style="12" customWidth="1"/>
    <col min="2" max="2" width="5.42578125" style="12" customWidth="1"/>
    <col min="3" max="8" width="5.140625" style="2" customWidth="1"/>
    <col min="9" max="9" width="6.140625" style="2" customWidth="1"/>
    <col min="10" max="15" width="5.140625" style="29" customWidth="1"/>
    <col min="16" max="16" width="6.5703125" style="29" bestFit="1" customWidth="1"/>
    <col min="17" max="19" width="5.140625" style="29" customWidth="1"/>
    <col min="20" max="22" width="5.140625" style="2" customWidth="1"/>
    <col min="23" max="23" width="5.7109375" style="2" customWidth="1"/>
    <col min="24" max="29" width="5.140625" style="2" customWidth="1"/>
    <col min="30" max="30" width="5.7109375" style="2" customWidth="1"/>
    <col min="31" max="36" width="5.140625" style="2" customWidth="1"/>
    <col min="37" max="37" width="5.42578125" style="2" bestFit="1" customWidth="1"/>
    <col min="38" max="38" width="5.7109375" style="2" customWidth="1"/>
    <col min="39" max="39" width="5.42578125" style="2" bestFit="1" customWidth="1"/>
    <col min="40" max="40" width="6.5703125" style="2" customWidth="1"/>
    <col min="41" max="41" width="5.85546875" customWidth="1"/>
    <col min="42" max="42" width="5.85546875" hidden="1" customWidth="1"/>
    <col min="43" max="43" width="4.42578125" style="2" customWidth="1"/>
    <col min="44" max="16384" width="10.85546875" style="2"/>
  </cols>
  <sheetData>
    <row r="1" spans="1:42" s="1" customFormat="1" ht="18.75">
      <c r="A1" s="201" t="s">
        <v>209</v>
      </c>
      <c r="B1" s="201"/>
      <c r="C1" s="202"/>
      <c r="D1" s="202"/>
      <c r="E1" s="202"/>
      <c r="F1" s="202"/>
      <c r="G1" s="202"/>
      <c r="H1" s="202"/>
      <c r="I1" s="202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/>
      <c r="AP1"/>
    </row>
    <row r="2" spans="1:42">
      <c r="A2" s="204"/>
      <c r="B2" s="204"/>
      <c r="C2" s="205"/>
      <c r="D2" s="205"/>
      <c r="E2" s="205"/>
      <c r="F2" s="205"/>
      <c r="G2" s="205"/>
      <c r="H2" s="205"/>
      <c r="I2" s="205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1:42" ht="15" customHeight="1">
      <c r="A3" s="204"/>
      <c r="B3" s="204"/>
      <c r="C3" s="206" t="s">
        <v>55</v>
      </c>
      <c r="D3" s="207"/>
      <c r="E3" s="207"/>
      <c r="F3" s="207"/>
      <c r="G3" s="207"/>
      <c r="H3" s="208"/>
      <c r="I3" s="209"/>
      <c r="J3" s="206" t="s">
        <v>57</v>
      </c>
      <c r="K3" s="207"/>
      <c r="L3" s="207"/>
      <c r="M3" s="207"/>
      <c r="N3" s="207"/>
      <c r="O3" s="208"/>
      <c r="P3" s="209"/>
      <c r="Q3" s="206" t="s">
        <v>59</v>
      </c>
      <c r="R3" s="207"/>
      <c r="S3" s="207"/>
      <c r="T3" s="207"/>
      <c r="U3" s="207"/>
      <c r="V3" s="208"/>
      <c r="W3" s="209"/>
      <c r="X3" s="206" t="s">
        <v>61</v>
      </c>
      <c r="Y3" s="207"/>
      <c r="Z3" s="207"/>
      <c r="AA3" s="207"/>
      <c r="AB3" s="207"/>
      <c r="AC3" s="208"/>
      <c r="AD3" s="209"/>
      <c r="AE3" s="206" t="s">
        <v>63</v>
      </c>
      <c r="AF3" s="207"/>
      <c r="AG3" s="207"/>
      <c r="AH3" s="207"/>
      <c r="AI3" s="207"/>
      <c r="AJ3" s="208"/>
      <c r="AK3" s="209"/>
      <c r="AL3" s="206" t="s">
        <v>65</v>
      </c>
      <c r="AM3" s="207"/>
      <c r="AN3" s="210"/>
    </row>
    <row r="4" spans="1:42" s="8" customFormat="1" ht="37.5" customHeight="1">
      <c r="A4" s="211" t="s">
        <v>66</v>
      </c>
      <c r="B4" s="212"/>
      <c r="C4" s="303">
        <v>0.29166666666666669</v>
      </c>
      <c r="D4" s="304">
        <v>0.48958333333333331</v>
      </c>
      <c r="E4" s="304">
        <f>D5</f>
        <v>0.5625</v>
      </c>
      <c r="F4" s="304">
        <f>E5</f>
        <v>0.62847222222222221</v>
      </c>
      <c r="G4" s="304">
        <f>F5</f>
        <v>0.67013888888888884</v>
      </c>
      <c r="H4" s="304">
        <f>G5</f>
        <v>0.70833333333333337</v>
      </c>
      <c r="I4" s="331" t="s">
        <v>56</v>
      </c>
      <c r="J4" s="303">
        <f>C4</f>
        <v>0.29166666666666669</v>
      </c>
      <c r="K4" s="303">
        <f t="shared" ref="K4:O5" si="0">D4</f>
        <v>0.48958333333333331</v>
      </c>
      <c r="L4" s="303">
        <f t="shared" si="0"/>
        <v>0.5625</v>
      </c>
      <c r="M4" s="303">
        <f t="shared" si="0"/>
        <v>0.62847222222222221</v>
      </c>
      <c r="N4" s="303">
        <f t="shared" si="0"/>
        <v>0.67013888888888884</v>
      </c>
      <c r="O4" s="303">
        <f t="shared" si="0"/>
        <v>0.70833333333333337</v>
      </c>
      <c r="P4" s="331" t="s">
        <v>58</v>
      </c>
      <c r="Q4" s="306">
        <f>J4</f>
        <v>0.29166666666666669</v>
      </c>
      <c r="R4" s="306">
        <f t="shared" ref="R4:V5" si="1">K4</f>
        <v>0.48958333333333331</v>
      </c>
      <c r="S4" s="306">
        <f t="shared" si="1"/>
        <v>0.5625</v>
      </c>
      <c r="T4" s="306">
        <f t="shared" si="1"/>
        <v>0.62847222222222221</v>
      </c>
      <c r="U4" s="306">
        <f t="shared" si="1"/>
        <v>0.67013888888888884</v>
      </c>
      <c r="V4" s="306">
        <f t="shared" si="1"/>
        <v>0.70833333333333337</v>
      </c>
      <c r="W4" s="331" t="s">
        <v>60</v>
      </c>
      <c r="X4" s="306">
        <f>C4</f>
        <v>0.29166666666666669</v>
      </c>
      <c r="Y4" s="306">
        <f t="shared" ref="Y4:AC5" si="2">D4</f>
        <v>0.48958333333333331</v>
      </c>
      <c r="Z4" s="306">
        <f t="shared" si="2"/>
        <v>0.5625</v>
      </c>
      <c r="AA4" s="306">
        <f t="shared" si="2"/>
        <v>0.62847222222222221</v>
      </c>
      <c r="AB4" s="306">
        <f t="shared" si="2"/>
        <v>0.67013888888888884</v>
      </c>
      <c r="AC4" s="306">
        <f t="shared" si="2"/>
        <v>0.70833333333333337</v>
      </c>
      <c r="AD4" s="331" t="s">
        <v>62</v>
      </c>
      <c r="AE4" s="306">
        <f>C4</f>
        <v>0.29166666666666669</v>
      </c>
      <c r="AF4" s="306">
        <f t="shared" ref="AF4:AJ5" si="3">D4</f>
        <v>0.48958333333333331</v>
      </c>
      <c r="AG4" s="306">
        <f t="shared" si="3"/>
        <v>0.5625</v>
      </c>
      <c r="AH4" s="306">
        <f t="shared" si="3"/>
        <v>0.62847222222222221</v>
      </c>
      <c r="AI4" s="306">
        <f t="shared" si="3"/>
        <v>0.67013888888888884</v>
      </c>
      <c r="AJ4" s="306">
        <f t="shared" si="3"/>
        <v>0.70833333333333337</v>
      </c>
      <c r="AK4" s="333" t="s">
        <v>64</v>
      </c>
      <c r="AL4" s="213"/>
      <c r="AM4" s="214"/>
      <c r="AN4" s="215"/>
      <c r="AO4"/>
      <c r="AP4"/>
    </row>
    <row r="5" spans="1:42" s="8" customFormat="1" ht="37.5" customHeight="1">
      <c r="A5" s="211" t="s">
        <v>67</v>
      </c>
      <c r="B5" s="216"/>
      <c r="C5" s="305">
        <v>0.33333333333333331</v>
      </c>
      <c r="D5" s="304">
        <v>0.5625</v>
      </c>
      <c r="E5" s="304">
        <v>0.62847222222222221</v>
      </c>
      <c r="F5" s="304">
        <v>0.67013888888888884</v>
      </c>
      <c r="G5" s="304">
        <v>0.70833333333333337</v>
      </c>
      <c r="H5" s="304">
        <v>0.75</v>
      </c>
      <c r="I5" s="332"/>
      <c r="J5" s="303">
        <f>C5</f>
        <v>0.33333333333333331</v>
      </c>
      <c r="K5" s="303">
        <f t="shared" si="0"/>
        <v>0.5625</v>
      </c>
      <c r="L5" s="303">
        <f t="shared" si="0"/>
        <v>0.62847222222222221</v>
      </c>
      <c r="M5" s="303">
        <f t="shared" si="0"/>
        <v>0.67013888888888884</v>
      </c>
      <c r="N5" s="303">
        <f t="shared" si="0"/>
        <v>0.70833333333333337</v>
      </c>
      <c r="O5" s="303">
        <f t="shared" si="0"/>
        <v>0.75</v>
      </c>
      <c r="P5" s="332"/>
      <c r="Q5" s="306">
        <f>J5</f>
        <v>0.33333333333333331</v>
      </c>
      <c r="R5" s="306">
        <f t="shared" si="1"/>
        <v>0.5625</v>
      </c>
      <c r="S5" s="306">
        <f t="shared" si="1"/>
        <v>0.62847222222222221</v>
      </c>
      <c r="T5" s="306">
        <f t="shared" si="1"/>
        <v>0.67013888888888884</v>
      </c>
      <c r="U5" s="306">
        <f t="shared" si="1"/>
        <v>0.70833333333333337</v>
      </c>
      <c r="V5" s="306">
        <f t="shared" si="1"/>
        <v>0.75</v>
      </c>
      <c r="W5" s="332"/>
      <c r="X5" s="306">
        <f>C5</f>
        <v>0.33333333333333331</v>
      </c>
      <c r="Y5" s="306">
        <f t="shared" si="2"/>
        <v>0.5625</v>
      </c>
      <c r="Z5" s="306">
        <f t="shared" si="2"/>
        <v>0.62847222222222221</v>
      </c>
      <c r="AA5" s="306">
        <f t="shared" si="2"/>
        <v>0.67013888888888884</v>
      </c>
      <c r="AB5" s="306">
        <f t="shared" si="2"/>
        <v>0.70833333333333337</v>
      </c>
      <c r="AC5" s="306">
        <f t="shared" si="2"/>
        <v>0.75</v>
      </c>
      <c r="AD5" s="332"/>
      <c r="AE5" s="306">
        <f>C5</f>
        <v>0.33333333333333331</v>
      </c>
      <c r="AF5" s="306">
        <f t="shared" si="3"/>
        <v>0.5625</v>
      </c>
      <c r="AG5" s="306">
        <f t="shared" si="3"/>
        <v>0.62847222222222221</v>
      </c>
      <c r="AH5" s="306">
        <f t="shared" si="3"/>
        <v>0.67013888888888884</v>
      </c>
      <c r="AI5" s="306">
        <f t="shared" si="3"/>
        <v>0.70833333333333337</v>
      </c>
      <c r="AJ5" s="306">
        <f t="shared" si="3"/>
        <v>0.75</v>
      </c>
      <c r="AK5" s="330"/>
      <c r="AL5" s="217"/>
      <c r="AM5" s="218"/>
      <c r="AN5" s="219"/>
      <c r="AO5"/>
      <c r="AP5"/>
    </row>
    <row r="6" spans="1:42" s="8" customFormat="1" ht="25.5" customHeight="1">
      <c r="A6" s="96" t="s">
        <v>68</v>
      </c>
      <c r="B6" s="96"/>
      <c r="C6" s="220">
        <f t="shared" ref="C6:H6" si="4">(C5-C4)*24</f>
        <v>0.99999999999999911</v>
      </c>
      <c r="D6" s="221">
        <f t="shared" si="4"/>
        <v>1.7500000000000004</v>
      </c>
      <c r="E6" s="221">
        <f t="shared" si="4"/>
        <v>1.583333333333333</v>
      </c>
      <c r="F6" s="221">
        <f t="shared" si="4"/>
        <v>0.99999999999999911</v>
      </c>
      <c r="G6" s="221">
        <f t="shared" si="4"/>
        <v>0.91666666666666874</v>
      </c>
      <c r="H6" s="221">
        <f t="shared" si="4"/>
        <v>0.99999999999999911</v>
      </c>
      <c r="I6" s="222"/>
      <c r="J6" s="220">
        <f t="shared" ref="J6:O6" si="5">(J5-J4)*24</f>
        <v>0.99999999999999911</v>
      </c>
      <c r="K6" s="221">
        <f t="shared" si="5"/>
        <v>1.7500000000000004</v>
      </c>
      <c r="L6" s="221">
        <f t="shared" si="5"/>
        <v>1.583333333333333</v>
      </c>
      <c r="M6" s="221">
        <f t="shared" si="5"/>
        <v>0.99999999999999911</v>
      </c>
      <c r="N6" s="221">
        <f t="shared" si="5"/>
        <v>0.91666666666666874</v>
      </c>
      <c r="O6" s="221">
        <f t="shared" si="5"/>
        <v>0.99999999999999911</v>
      </c>
      <c r="P6" s="222"/>
      <c r="Q6" s="220">
        <f t="shared" ref="Q6:V6" si="6">(Q5-Q4)*24</f>
        <v>0.99999999999999911</v>
      </c>
      <c r="R6" s="221">
        <f t="shared" si="6"/>
        <v>1.7500000000000004</v>
      </c>
      <c r="S6" s="221">
        <f t="shared" si="6"/>
        <v>1.583333333333333</v>
      </c>
      <c r="T6" s="221">
        <f t="shared" si="6"/>
        <v>0.99999999999999911</v>
      </c>
      <c r="U6" s="221">
        <f t="shared" si="6"/>
        <v>0.91666666666666874</v>
      </c>
      <c r="V6" s="221">
        <f t="shared" si="6"/>
        <v>0.99999999999999911</v>
      </c>
      <c r="W6" s="222"/>
      <c r="X6" s="220">
        <f t="shared" ref="X6:AC6" si="7">(X5-X4)*24</f>
        <v>0.99999999999999911</v>
      </c>
      <c r="Y6" s="221">
        <f t="shared" si="7"/>
        <v>1.7500000000000004</v>
      </c>
      <c r="Z6" s="221">
        <f t="shared" si="7"/>
        <v>1.583333333333333</v>
      </c>
      <c r="AA6" s="221">
        <f t="shared" si="7"/>
        <v>0.99999999999999911</v>
      </c>
      <c r="AB6" s="221">
        <f t="shared" si="7"/>
        <v>0.91666666666666874</v>
      </c>
      <c r="AC6" s="221">
        <f t="shared" si="7"/>
        <v>0.99999999999999911</v>
      </c>
      <c r="AD6" s="222"/>
      <c r="AE6" s="220">
        <f t="shared" ref="AE6:AJ6" si="8">(AE5-AE4)*24</f>
        <v>0.99999999999999911</v>
      </c>
      <c r="AF6" s="221">
        <f t="shared" si="8"/>
        <v>1.7500000000000004</v>
      </c>
      <c r="AG6" s="221">
        <f t="shared" si="8"/>
        <v>1.583333333333333</v>
      </c>
      <c r="AH6" s="221">
        <f t="shared" si="8"/>
        <v>0.99999999999999911</v>
      </c>
      <c r="AI6" s="221">
        <f t="shared" si="8"/>
        <v>0.91666666666666874</v>
      </c>
      <c r="AJ6" s="221">
        <f t="shared" si="8"/>
        <v>0.99999999999999911</v>
      </c>
      <c r="AK6" s="222"/>
      <c r="AL6" s="223"/>
      <c r="AM6" s="224"/>
      <c r="AN6" s="225"/>
      <c r="AO6"/>
      <c r="AP6"/>
    </row>
    <row r="7" spans="1:42" s="8" customFormat="1" ht="25.5" customHeight="1">
      <c r="A7" s="226" t="s">
        <v>69</v>
      </c>
      <c r="B7" s="226"/>
      <c r="C7" s="227">
        <v>6</v>
      </c>
      <c r="D7" s="228">
        <v>12</v>
      </c>
      <c r="E7" s="228">
        <v>2</v>
      </c>
      <c r="F7" s="228">
        <v>13</v>
      </c>
      <c r="G7" s="228">
        <v>11</v>
      </c>
      <c r="H7" s="228">
        <v>4</v>
      </c>
      <c r="I7" s="229"/>
      <c r="J7" s="227"/>
      <c r="K7" s="228"/>
      <c r="L7" s="228"/>
      <c r="M7" s="228"/>
      <c r="N7" s="228"/>
      <c r="O7" s="228"/>
      <c r="P7" s="230"/>
      <c r="Q7" s="227"/>
      <c r="R7" s="228"/>
      <c r="S7" s="228"/>
      <c r="T7" s="228"/>
      <c r="U7" s="228"/>
      <c r="V7" s="228"/>
      <c r="W7" s="230"/>
      <c r="X7" s="227">
        <v>5</v>
      </c>
      <c r="Y7" s="228">
        <v>12</v>
      </c>
      <c r="Z7" s="228">
        <v>7</v>
      </c>
      <c r="AA7" s="228">
        <v>8</v>
      </c>
      <c r="AB7" s="228">
        <v>8</v>
      </c>
      <c r="AC7" s="228">
        <v>4</v>
      </c>
      <c r="AD7" s="230"/>
      <c r="AE7" s="227"/>
      <c r="AF7" s="228"/>
      <c r="AG7" s="228"/>
      <c r="AH7" s="228"/>
      <c r="AI7" s="228"/>
      <c r="AJ7" s="228"/>
      <c r="AK7" s="231"/>
      <c r="AL7" s="232"/>
      <c r="AM7" s="233"/>
      <c r="AN7" s="234"/>
      <c r="AO7"/>
      <c r="AP7"/>
    </row>
    <row r="8" spans="1:42" s="8" customFormat="1" ht="25.5" customHeight="1">
      <c r="A8" s="307" t="s">
        <v>84</v>
      </c>
      <c r="B8" s="308"/>
      <c r="C8" s="309" t="s">
        <v>26</v>
      </c>
      <c r="D8" s="310" t="s">
        <v>26</v>
      </c>
      <c r="E8" s="310"/>
      <c r="F8" s="310" t="s">
        <v>26</v>
      </c>
      <c r="G8" s="310" t="s">
        <v>26</v>
      </c>
      <c r="H8" s="310" t="s">
        <v>26</v>
      </c>
      <c r="I8" s="236">
        <f>SUMIF(C8:H8,$AP$8,C6:H6)</f>
        <v>5.666666666666667</v>
      </c>
      <c r="J8" s="309"/>
      <c r="K8" s="310"/>
      <c r="L8" s="310"/>
      <c r="M8" s="310"/>
      <c r="N8" s="310"/>
      <c r="O8" s="310"/>
      <c r="P8" s="236">
        <f>SUMIF(J8:O8,$AP$8,J6:O6)</f>
        <v>0</v>
      </c>
      <c r="Q8" s="309"/>
      <c r="R8" s="310"/>
      <c r="S8" s="310"/>
      <c r="T8" s="310"/>
      <c r="U8" s="310"/>
      <c r="V8" s="310"/>
      <c r="W8" s="236">
        <f>SUMIF(Q8:V8,$AP$8,Q6:V6)</f>
        <v>0</v>
      </c>
      <c r="X8" s="309" t="s">
        <v>26</v>
      </c>
      <c r="Y8" s="310" t="s">
        <v>26</v>
      </c>
      <c r="Z8" s="310" t="s">
        <v>26</v>
      </c>
      <c r="AA8" s="310" t="s">
        <v>26</v>
      </c>
      <c r="AB8" s="310" t="s">
        <v>26</v>
      </c>
      <c r="AC8" s="310" t="s">
        <v>26</v>
      </c>
      <c r="AD8" s="236">
        <f>SUMIF(X8:AC8,$AP$8,X6:AC6)</f>
        <v>7.2499999999999991</v>
      </c>
      <c r="AE8" s="309"/>
      <c r="AF8" s="310"/>
      <c r="AG8" s="310"/>
      <c r="AH8" s="310"/>
      <c r="AI8" s="310"/>
      <c r="AJ8" s="310"/>
      <c r="AK8" s="236">
        <f>SUMIF(AE8:AJ8,$AP$8,AE6:AJ6)</f>
        <v>0</v>
      </c>
      <c r="AL8" s="223"/>
      <c r="AM8" s="224"/>
      <c r="AN8" s="237">
        <f>MAXA(I8,P8,W8,AD8,AK8)</f>
        <v>7.2499999999999991</v>
      </c>
      <c r="AO8"/>
      <c r="AP8" t="s">
        <v>26</v>
      </c>
    </row>
    <row r="9" spans="1:42" s="83" customFormat="1">
      <c r="A9" s="238"/>
      <c r="B9" s="238"/>
      <c r="C9" s="239"/>
      <c r="D9" s="240"/>
      <c r="E9" s="240"/>
      <c r="F9" s="240"/>
      <c r="G9" s="240"/>
      <c r="H9" s="240"/>
      <c r="I9" s="224"/>
      <c r="J9" s="240"/>
      <c r="K9" s="240"/>
      <c r="L9" s="240"/>
      <c r="M9" s="240"/>
      <c r="N9" s="240"/>
      <c r="O9" s="240"/>
      <c r="P9" s="224"/>
      <c r="Q9" s="240"/>
      <c r="R9" s="240"/>
      <c r="S9" s="240"/>
      <c r="T9" s="240"/>
      <c r="U9" s="240"/>
      <c r="V9" s="240"/>
      <c r="W9" s="224"/>
      <c r="X9" s="240"/>
      <c r="Y9" s="240"/>
      <c r="Z9" s="240"/>
      <c r="AA9" s="240"/>
      <c r="AB9" s="240"/>
      <c r="AC9" s="241"/>
      <c r="AD9" s="224"/>
      <c r="AE9" s="311"/>
      <c r="AF9" s="311"/>
      <c r="AG9" s="311"/>
      <c r="AH9" s="311"/>
      <c r="AI9" s="311"/>
      <c r="AJ9" s="311"/>
      <c r="AK9" s="242"/>
      <c r="AL9" s="243"/>
      <c r="AM9" s="244"/>
      <c r="AN9" s="245"/>
      <c r="AO9" s="56"/>
      <c r="AP9" s="56"/>
    </row>
    <row r="10" spans="1:42" s="46" customFormat="1" ht="20.100000000000001" customHeight="1">
      <c r="A10" s="246" t="s">
        <v>74</v>
      </c>
      <c r="B10" s="247" t="s">
        <v>3</v>
      </c>
      <c r="C10" s="248"/>
      <c r="D10" s="249"/>
      <c r="E10" s="249"/>
      <c r="F10" s="249"/>
      <c r="G10" s="249"/>
      <c r="H10" s="249"/>
      <c r="I10" s="250"/>
      <c r="J10" s="248"/>
      <c r="K10" s="249"/>
      <c r="L10" s="249"/>
      <c r="M10" s="249"/>
      <c r="N10" s="249"/>
      <c r="O10" s="249"/>
      <c r="P10" s="250"/>
      <c r="Q10" s="248"/>
      <c r="R10" s="249"/>
      <c r="S10" s="249"/>
      <c r="T10" s="249"/>
      <c r="U10" s="249"/>
      <c r="V10" s="249"/>
      <c r="W10" s="250"/>
      <c r="X10" s="248"/>
      <c r="Y10" s="249"/>
      <c r="Z10" s="249"/>
      <c r="AA10" s="249"/>
      <c r="AB10" s="249"/>
      <c r="AC10" s="249"/>
      <c r="AD10" s="250"/>
      <c r="AE10" s="312"/>
      <c r="AF10" s="313"/>
      <c r="AG10" s="313"/>
      <c r="AH10" s="313"/>
      <c r="AI10" s="313"/>
      <c r="AJ10" s="313"/>
      <c r="AK10" s="250"/>
      <c r="AL10" s="248" t="s">
        <v>88</v>
      </c>
      <c r="AM10" s="251" t="s">
        <v>28</v>
      </c>
      <c r="AN10" s="252" t="s">
        <v>23</v>
      </c>
      <c r="AO10"/>
      <c r="AP10"/>
    </row>
    <row r="11" spans="1:42" s="46" customFormat="1" ht="20.100000000000001" customHeight="1">
      <c r="A11" s="253" t="s">
        <v>155</v>
      </c>
      <c r="B11" s="317" t="s">
        <v>193</v>
      </c>
      <c r="C11" s="314">
        <v>1</v>
      </c>
      <c r="D11" s="315">
        <v>1</v>
      </c>
      <c r="E11" s="315"/>
      <c r="F11" s="315">
        <v>1</v>
      </c>
      <c r="G11" s="315">
        <v>1</v>
      </c>
      <c r="H11" s="315"/>
      <c r="I11" s="254">
        <f>C11*C$6+D11*D$6+E$6*E11+F11*F$6+G11*G$6+H11*H$6</f>
        <v>4.6666666666666679</v>
      </c>
      <c r="J11" s="314"/>
      <c r="K11" s="315"/>
      <c r="L11" s="315"/>
      <c r="M11" s="315"/>
      <c r="N11" s="315"/>
      <c r="O11" s="315"/>
      <c r="P11" s="254">
        <f>J11*J$6+K11*K$6+L$6*L11+M11*M$6+N11*N$6+O11*O$6</f>
        <v>0</v>
      </c>
      <c r="Q11" s="314"/>
      <c r="R11" s="315"/>
      <c r="S11" s="315"/>
      <c r="T11" s="315"/>
      <c r="U11" s="315"/>
      <c r="V11" s="315"/>
      <c r="W11" s="254">
        <f>Q11*Q$6+R11*R$6+S$6*S11+T11*T$6+U11*U$6+V11*V$6</f>
        <v>0</v>
      </c>
      <c r="X11" s="314">
        <v>1</v>
      </c>
      <c r="Y11" s="315">
        <v>1</v>
      </c>
      <c r="Z11" s="315"/>
      <c r="AA11" s="315">
        <v>1</v>
      </c>
      <c r="AB11" s="315">
        <v>1</v>
      </c>
      <c r="AC11" s="315">
        <v>1</v>
      </c>
      <c r="AD11" s="254">
        <f>X11*X$6+Y11*Y$6+Z$6*Z11+AA11*AA$6+AB11*AB$6+AC11*AC$6</f>
        <v>5.666666666666667</v>
      </c>
      <c r="AE11" s="314"/>
      <c r="AF11" s="315"/>
      <c r="AG11" s="315"/>
      <c r="AH11" s="315"/>
      <c r="AI11" s="315"/>
      <c r="AJ11" s="315"/>
      <c r="AK11" s="254">
        <f>AE11*AE$6+AF11*AF$6+AG$6*AG11+AH11*AH$6+AI11*AI$6+AJ11*AJ$6</f>
        <v>0</v>
      </c>
      <c r="AL11" s="255">
        <f>IF(B11="N",0,IF(B11="f",AN11,"Bitte Qualifikation in der Spalte B eintragen"))</f>
        <v>10.333333333333336</v>
      </c>
      <c r="AM11" s="256">
        <f>IF(B11="f",0,IF(B11="N",AN11,"Bitte Qualifikation in der Spalte B eintragen"))</f>
        <v>0</v>
      </c>
      <c r="AN11" s="257">
        <f>I11+P11+W11+AD11+AK11</f>
        <v>10.333333333333336</v>
      </c>
      <c r="AO11"/>
      <c r="AP11"/>
    </row>
    <row r="12" spans="1:42" s="46" customFormat="1" ht="20.100000000000001" customHeight="1">
      <c r="A12" s="253" t="s">
        <v>75</v>
      </c>
      <c r="B12" s="317" t="s">
        <v>193</v>
      </c>
      <c r="C12" s="314"/>
      <c r="D12" s="315"/>
      <c r="E12" s="315"/>
      <c r="F12" s="315">
        <v>1</v>
      </c>
      <c r="G12" s="315"/>
      <c r="H12" s="315"/>
      <c r="I12" s="254">
        <f>C12*C$6+D12*D$6+E$6*E12+F12*F$6+G12*G$6+H12*H$6</f>
        <v>0.99999999999999911</v>
      </c>
      <c r="J12" s="314"/>
      <c r="K12" s="315"/>
      <c r="L12" s="315"/>
      <c r="M12" s="315"/>
      <c r="N12" s="315"/>
      <c r="O12" s="315"/>
      <c r="P12" s="254">
        <f>J12*J$6+K12*K$6+L$6*L12+M12*M$6+N12*N$6+O12*O$6</f>
        <v>0</v>
      </c>
      <c r="Q12" s="314"/>
      <c r="R12" s="315"/>
      <c r="S12" s="315"/>
      <c r="T12" s="315"/>
      <c r="U12" s="315"/>
      <c r="V12" s="315"/>
      <c r="W12" s="254">
        <f>Q12*Q$6+R12*R$6+S$6*S12+T12*T$6+U12*U$6+V12*V$6</f>
        <v>0</v>
      </c>
      <c r="X12" s="314"/>
      <c r="Y12" s="315"/>
      <c r="Z12" s="315"/>
      <c r="AA12" s="315"/>
      <c r="AB12" s="315"/>
      <c r="AC12" s="315"/>
      <c r="AD12" s="254">
        <f>X12*X$6+Y12*Y$6+Z$6*Z12+AA12*AA$6+AB12*AB$6+AC12*AC$6</f>
        <v>0</v>
      </c>
      <c r="AE12" s="314"/>
      <c r="AF12" s="315"/>
      <c r="AG12" s="315"/>
      <c r="AH12" s="315"/>
      <c r="AI12" s="315"/>
      <c r="AJ12" s="315"/>
      <c r="AK12" s="254">
        <f>AE12*AE$6+AF12*AF$6+AG$6*AG12+AH12*AH$6+AI12*AI$6+AJ12*AJ$6</f>
        <v>0</v>
      </c>
      <c r="AL12" s="255">
        <f t="shared" ref="AL12:AL21" si="9">IF(B12="N",0,IF(B12="f",AN12,"Bitte Qualifikation in der Spalte B eintragen"))</f>
        <v>0.99999999999999911</v>
      </c>
      <c r="AM12" s="256">
        <f t="shared" ref="AM12:AM21" si="10">IF(B12="f",0,IF(B12="N",AN12,"Bitte Qualifikation in der Spalte B eintragen"))</f>
        <v>0</v>
      </c>
      <c r="AN12" s="257">
        <f>I12+P12+W12+AD12+AK12</f>
        <v>0.99999999999999911</v>
      </c>
      <c r="AO12"/>
      <c r="AP12"/>
    </row>
    <row r="13" spans="1:42" s="46" customFormat="1" ht="20.100000000000001" customHeight="1">
      <c r="A13" s="253" t="s">
        <v>76</v>
      </c>
      <c r="B13" s="317" t="s">
        <v>193</v>
      </c>
      <c r="C13" s="314"/>
      <c r="D13" s="315"/>
      <c r="E13" s="315"/>
      <c r="F13" s="315"/>
      <c r="G13" s="315"/>
      <c r="H13" s="315"/>
      <c r="I13" s="254">
        <f>C13*C$6+D13*D$6+E$6*E13+F13*F$6+G13*G$6+H13*H$6</f>
        <v>0</v>
      </c>
      <c r="J13" s="314"/>
      <c r="K13" s="315"/>
      <c r="L13" s="315"/>
      <c r="M13" s="315"/>
      <c r="N13" s="315"/>
      <c r="O13" s="315"/>
      <c r="P13" s="254">
        <f>J13*J$6+K13*K$6+L$6*L13+M13*M$6+N13*N$6+O13*O$6</f>
        <v>0</v>
      </c>
      <c r="Q13" s="314"/>
      <c r="R13" s="315"/>
      <c r="S13" s="315"/>
      <c r="T13" s="315"/>
      <c r="U13" s="315"/>
      <c r="V13" s="315"/>
      <c r="W13" s="254">
        <f>Q13*Q$6+R13*R$6+S$6*S13+T13*T$6+U13*U$6+V13*V$6</f>
        <v>0</v>
      </c>
      <c r="X13" s="314"/>
      <c r="Y13" s="315">
        <v>1</v>
      </c>
      <c r="Z13" s="315">
        <v>1</v>
      </c>
      <c r="AA13" s="315"/>
      <c r="AB13" s="315"/>
      <c r="AC13" s="315"/>
      <c r="AD13" s="254">
        <f>X13*X$6+Y13*Y$6+Z$6*Z13+AA13*AA$6+AB13*AB$6+AC13*AC$6</f>
        <v>3.3333333333333335</v>
      </c>
      <c r="AE13" s="314"/>
      <c r="AF13" s="315"/>
      <c r="AG13" s="315"/>
      <c r="AH13" s="315"/>
      <c r="AI13" s="315"/>
      <c r="AJ13" s="315"/>
      <c r="AK13" s="254">
        <f>AE13*AE$6+AF13*AF$6+AG$6*AG13+AH13*AH$6+AI13*AI$6+AJ13*AJ$6</f>
        <v>0</v>
      </c>
      <c r="AL13" s="255">
        <f t="shared" si="9"/>
        <v>3.3333333333333335</v>
      </c>
      <c r="AM13" s="256">
        <f t="shared" si="10"/>
        <v>0</v>
      </c>
      <c r="AN13" s="257">
        <f>I13+P13+W13+AD13+AK13</f>
        <v>3.3333333333333335</v>
      </c>
      <c r="AO13"/>
      <c r="AP13"/>
    </row>
    <row r="14" spans="1:42" s="46" customFormat="1" ht="20.100000000000001" customHeight="1">
      <c r="A14" s="253" t="s">
        <v>151</v>
      </c>
      <c r="B14" s="317" t="s">
        <v>193</v>
      </c>
      <c r="C14" s="314"/>
      <c r="D14" s="315"/>
      <c r="E14" s="315"/>
      <c r="F14" s="315"/>
      <c r="G14" s="315"/>
      <c r="H14" s="315"/>
      <c r="I14" s="254">
        <f t="shared" ref="I14:I21" si="11">C14*C$6+D14*D$6+E$6*E14+F14*F$6+G14*G$6+H14*H$6</f>
        <v>0</v>
      </c>
      <c r="J14" s="314"/>
      <c r="K14" s="315"/>
      <c r="L14" s="315"/>
      <c r="M14" s="315"/>
      <c r="N14" s="315"/>
      <c r="O14" s="315"/>
      <c r="P14" s="254">
        <f t="shared" ref="P14:P21" si="12">J14*J$6+K14*K$6+L$6*L14+M14*M$6+N14*N$6+O14*O$6</f>
        <v>0</v>
      </c>
      <c r="Q14" s="314"/>
      <c r="R14" s="315"/>
      <c r="S14" s="315"/>
      <c r="T14" s="315"/>
      <c r="U14" s="315"/>
      <c r="V14" s="315"/>
      <c r="W14" s="254">
        <f t="shared" ref="W14:W21" si="13">Q14*Q$6+R14*R$6+S$6*S14+T14*T$6+U14*U$6+V14*V$6</f>
        <v>0</v>
      </c>
      <c r="X14" s="314"/>
      <c r="Y14" s="315"/>
      <c r="Z14" s="315"/>
      <c r="AA14" s="315"/>
      <c r="AB14" s="315"/>
      <c r="AC14" s="315"/>
      <c r="AD14" s="254">
        <f t="shared" ref="AD14:AD21" si="14">X14*X$6+Y14*Y$6+Z$6*Z14+AA14*AA$6+AB14*AB$6+AC14*AC$6</f>
        <v>0</v>
      </c>
      <c r="AE14" s="314"/>
      <c r="AF14" s="315"/>
      <c r="AG14" s="315"/>
      <c r="AH14" s="315"/>
      <c r="AI14" s="315"/>
      <c r="AJ14" s="315"/>
      <c r="AK14" s="254">
        <f t="shared" ref="AK14:AK21" si="15">AE14*AE$6+AF14*AF$6+AG$6*AG14+AH14*AH$6+AI14*AI$6+AJ14*AJ$6</f>
        <v>0</v>
      </c>
      <c r="AL14" s="255">
        <f t="shared" si="9"/>
        <v>0</v>
      </c>
      <c r="AM14" s="256">
        <f t="shared" si="10"/>
        <v>0</v>
      </c>
      <c r="AN14" s="257">
        <f t="shared" ref="AN14:AN21" si="16">I14+P14+W14+AD14+AK14</f>
        <v>0</v>
      </c>
      <c r="AO14"/>
      <c r="AP14"/>
    </row>
    <row r="15" spans="1:42" s="46" customFormat="1" ht="20.100000000000001" customHeight="1">
      <c r="A15" s="253" t="s">
        <v>77</v>
      </c>
      <c r="B15" s="317" t="s">
        <v>193</v>
      </c>
      <c r="C15" s="314"/>
      <c r="D15" s="315"/>
      <c r="E15" s="315"/>
      <c r="F15" s="315"/>
      <c r="G15" s="315"/>
      <c r="H15" s="315"/>
      <c r="I15" s="254">
        <f t="shared" si="11"/>
        <v>0</v>
      </c>
      <c r="J15" s="314"/>
      <c r="K15" s="315"/>
      <c r="L15" s="315"/>
      <c r="M15" s="315"/>
      <c r="N15" s="315"/>
      <c r="O15" s="315"/>
      <c r="P15" s="254">
        <f t="shared" si="12"/>
        <v>0</v>
      </c>
      <c r="Q15" s="314"/>
      <c r="R15" s="315"/>
      <c r="S15" s="315"/>
      <c r="T15" s="315"/>
      <c r="U15" s="315"/>
      <c r="V15" s="315"/>
      <c r="W15" s="254">
        <f t="shared" si="13"/>
        <v>0</v>
      </c>
      <c r="X15" s="314"/>
      <c r="Y15" s="315"/>
      <c r="Z15" s="315"/>
      <c r="AA15" s="315"/>
      <c r="AB15" s="315"/>
      <c r="AC15" s="315"/>
      <c r="AD15" s="254">
        <f t="shared" si="14"/>
        <v>0</v>
      </c>
      <c r="AE15" s="314"/>
      <c r="AF15" s="315"/>
      <c r="AG15" s="315"/>
      <c r="AH15" s="315"/>
      <c r="AI15" s="315"/>
      <c r="AJ15" s="315"/>
      <c r="AK15" s="254">
        <f t="shared" si="15"/>
        <v>0</v>
      </c>
      <c r="AL15" s="255">
        <f t="shared" si="9"/>
        <v>0</v>
      </c>
      <c r="AM15" s="256">
        <f t="shared" si="10"/>
        <v>0</v>
      </c>
      <c r="AN15" s="257">
        <f t="shared" si="16"/>
        <v>0</v>
      </c>
      <c r="AO15"/>
      <c r="AP15"/>
    </row>
    <row r="16" spans="1:42" s="46" customFormat="1" ht="20.100000000000001" customHeight="1">
      <c r="A16" s="253" t="s">
        <v>78</v>
      </c>
      <c r="B16" s="317" t="s">
        <v>193</v>
      </c>
      <c r="C16" s="314"/>
      <c r="D16" s="315"/>
      <c r="E16" s="315"/>
      <c r="F16" s="315"/>
      <c r="G16" s="315"/>
      <c r="H16" s="315"/>
      <c r="I16" s="254">
        <f t="shared" si="11"/>
        <v>0</v>
      </c>
      <c r="J16" s="314"/>
      <c r="K16" s="315"/>
      <c r="L16" s="315"/>
      <c r="M16" s="315"/>
      <c r="N16" s="315"/>
      <c r="O16" s="315"/>
      <c r="P16" s="254">
        <f t="shared" si="12"/>
        <v>0</v>
      </c>
      <c r="Q16" s="314"/>
      <c r="R16" s="315"/>
      <c r="S16" s="315"/>
      <c r="T16" s="315"/>
      <c r="U16" s="315"/>
      <c r="V16" s="315"/>
      <c r="W16" s="254">
        <f t="shared" si="13"/>
        <v>0</v>
      </c>
      <c r="X16" s="314"/>
      <c r="Y16" s="315"/>
      <c r="Z16" s="315"/>
      <c r="AA16" s="315"/>
      <c r="AB16" s="315"/>
      <c r="AC16" s="315"/>
      <c r="AD16" s="254">
        <f t="shared" si="14"/>
        <v>0</v>
      </c>
      <c r="AE16" s="314"/>
      <c r="AF16" s="315"/>
      <c r="AG16" s="315"/>
      <c r="AH16" s="315"/>
      <c r="AI16" s="315"/>
      <c r="AJ16" s="315"/>
      <c r="AK16" s="254">
        <f t="shared" si="15"/>
        <v>0</v>
      </c>
      <c r="AL16" s="255">
        <f t="shared" si="9"/>
        <v>0</v>
      </c>
      <c r="AM16" s="256">
        <f t="shared" si="10"/>
        <v>0</v>
      </c>
      <c r="AN16" s="257">
        <f t="shared" si="16"/>
        <v>0</v>
      </c>
      <c r="AO16"/>
      <c r="AP16"/>
    </row>
    <row r="17" spans="1:43" s="46" customFormat="1" ht="20.100000000000001" customHeight="1">
      <c r="A17" s="253" t="s">
        <v>79</v>
      </c>
      <c r="B17" s="317" t="s">
        <v>2</v>
      </c>
      <c r="C17" s="314"/>
      <c r="D17" s="315">
        <v>1</v>
      </c>
      <c r="E17" s="315"/>
      <c r="F17" s="315">
        <v>1</v>
      </c>
      <c r="G17" s="315"/>
      <c r="H17" s="315"/>
      <c r="I17" s="254">
        <f t="shared" si="11"/>
        <v>2.7499999999999996</v>
      </c>
      <c r="J17" s="314"/>
      <c r="K17" s="315"/>
      <c r="L17" s="315"/>
      <c r="M17" s="315"/>
      <c r="N17" s="315"/>
      <c r="O17" s="315"/>
      <c r="P17" s="254">
        <f t="shared" si="12"/>
        <v>0</v>
      </c>
      <c r="Q17" s="314"/>
      <c r="R17" s="315"/>
      <c r="S17" s="315"/>
      <c r="T17" s="315"/>
      <c r="U17" s="315"/>
      <c r="V17" s="315"/>
      <c r="W17" s="254">
        <f t="shared" si="13"/>
        <v>0</v>
      </c>
      <c r="X17" s="314"/>
      <c r="Y17" s="315"/>
      <c r="Z17" s="315"/>
      <c r="AA17" s="315"/>
      <c r="AB17" s="315"/>
      <c r="AC17" s="315"/>
      <c r="AD17" s="254">
        <f t="shared" si="14"/>
        <v>0</v>
      </c>
      <c r="AE17" s="314"/>
      <c r="AF17" s="315"/>
      <c r="AG17" s="315"/>
      <c r="AH17" s="315"/>
      <c r="AI17" s="315"/>
      <c r="AJ17" s="315"/>
      <c r="AK17" s="254">
        <f t="shared" si="15"/>
        <v>0</v>
      </c>
      <c r="AL17" s="255">
        <f t="shared" si="9"/>
        <v>0</v>
      </c>
      <c r="AM17" s="256">
        <f t="shared" si="10"/>
        <v>2.7499999999999996</v>
      </c>
      <c r="AN17" s="257">
        <f t="shared" si="16"/>
        <v>2.7499999999999996</v>
      </c>
      <c r="AO17"/>
      <c r="AP17"/>
    </row>
    <row r="18" spans="1:43" s="46" customFormat="1" ht="20.100000000000001" customHeight="1">
      <c r="A18" s="253" t="s">
        <v>80</v>
      </c>
      <c r="B18" s="317" t="s">
        <v>2</v>
      </c>
      <c r="C18" s="314"/>
      <c r="D18" s="315"/>
      <c r="E18" s="315"/>
      <c r="F18" s="315"/>
      <c r="G18" s="315"/>
      <c r="H18" s="315">
        <v>1</v>
      </c>
      <c r="I18" s="254">
        <f t="shared" si="11"/>
        <v>0.99999999999999911</v>
      </c>
      <c r="J18" s="314"/>
      <c r="K18" s="315"/>
      <c r="L18" s="315"/>
      <c r="M18" s="315"/>
      <c r="N18" s="315"/>
      <c r="O18" s="315"/>
      <c r="P18" s="254">
        <f t="shared" si="12"/>
        <v>0</v>
      </c>
      <c r="Q18" s="314"/>
      <c r="R18" s="315"/>
      <c r="S18" s="315"/>
      <c r="T18" s="315"/>
      <c r="U18" s="315"/>
      <c r="V18" s="315"/>
      <c r="W18" s="254">
        <f t="shared" si="13"/>
        <v>0</v>
      </c>
      <c r="X18" s="314"/>
      <c r="Y18" s="315">
        <v>1</v>
      </c>
      <c r="Z18" s="315"/>
      <c r="AA18" s="315"/>
      <c r="AB18" s="315"/>
      <c r="AC18" s="315"/>
      <c r="AD18" s="254">
        <f t="shared" si="14"/>
        <v>1.7500000000000004</v>
      </c>
      <c r="AE18" s="314"/>
      <c r="AF18" s="315"/>
      <c r="AG18" s="315"/>
      <c r="AH18" s="315"/>
      <c r="AI18" s="315"/>
      <c r="AJ18" s="315"/>
      <c r="AK18" s="254">
        <f t="shared" si="15"/>
        <v>0</v>
      </c>
      <c r="AL18" s="255">
        <f t="shared" si="9"/>
        <v>0</v>
      </c>
      <c r="AM18" s="256">
        <f t="shared" si="10"/>
        <v>2.7499999999999996</v>
      </c>
      <c r="AN18" s="257">
        <f t="shared" si="16"/>
        <v>2.7499999999999996</v>
      </c>
      <c r="AO18"/>
      <c r="AP18"/>
    </row>
    <row r="19" spans="1:43" s="46" customFormat="1" ht="20.100000000000001" customHeight="1">
      <c r="A19" s="253" t="s">
        <v>81</v>
      </c>
      <c r="B19" s="317" t="s">
        <v>2</v>
      </c>
      <c r="C19" s="314"/>
      <c r="D19" s="315"/>
      <c r="E19" s="315"/>
      <c r="F19" s="315"/>
      <c r="G19" s="315">
        <v>1</v>
      </c>
      <c r="H19" s="315"/>
      <c r="I19" s="254">
        <f t="shared" si="11"/>
        <v>0.91666666666666874</v>
      </c>
      <c r="J19" s="314"/>
      <c r="K19" s="315"/>
      <c r="L19" s="315"/>
      <c r="M19" s="315"/>
      <c r="N19" s="315"/>
      <c r="O19" s="315"/>
      <c r="P19" s="254">
        <f t="shared" si="12"/>
        <v>0</v>
      </c>
      <c r="Q19" s="314"/>
      <c r="R19" s="315"/>
      <c r="S19" s="315"/>
      <c r="T19" s="315"/>
      <c r="U19" s="315"/>
      <c r="V19" s="315"/>
      <c r="W19" s="254">
        <f t="shared" si="13"/>
        <v>0</v>
      </c>
      <c r="X19" s="314"/>
      <c r="Y19" s="315"/>
      <c r="Z19" s="315"/>
      <c r="AA19" s="315"/>
      <c r="AB19" s="315">
        <v>1</v>
      </c>
      <c r="AC19" s="315"/>
      <c r="AD19" s="254">
        <f t="shared" si="14"/>
        <v>0.91666666666666874</v>
      </c>
      <c r="AE19" s="314"/>
      <c r="AF19" s="315"/>
      <c r="AG19" s="315"/>
      <c r="AH19" s="315"/>
      <c r="AI19" s="315"/>
      <c r="AJ19" s="315"/>
      <c r="AK19" s="254">
        <f t="shared" si="15"/>
        <v>0</v>
      </c>
      <c r="AL19" s="255">
        <f t="shared" si="9"/>
        <v>0</v>
      </c>
      <c r="AM19" s="256">
        <f t="shared" si="10"/>
        <v>1.8333333333333375</v>
      </c>
      <c r="AN19" s="257">
        <f t="shared" si="16"/>
        <v>1.8333333333333375</v>
      </c>
      <c r="AO19"/>
      <c r="AP19"/>
    </row>
    <row r="20" spans="1:43" s="46" customFormat="1" ht="20.100000000000001" customHeight="1">
      <c r="A20" s="253" t="s">
        <v>82</v>
      </c>
      <c r="B20" s="317" t="s">
        <v>2</v>
      </c>
      <c r="C20" s="314"/>
      <c r="D20" s="315"/>
      <c r="E20" s="315"/>
      <c r="F20" s="315"/>
      <c r="G20" s="315"/>
      <c r="H20" s="315"/>
      <c r="I20" s="254">
        <f t="shared" si="11"/>
        <v>0</v>
      </c>
      <c r="J20" s="314"/>
      <c r="K20" s="315"/>
      <c r="L20" s="315"/>
      <c r="M20" s="315"/>
      <c r="N20" s="315"/>
      <c r="O20" s="315"/>
      <c r="P20" s="254">
        <f t="shared" si="12"/>
        <v>0</v>
      </c>
      <c r="Q20" s="314"/>
      <c r="R20" s="315"/>
      <c r="S20" s="315"/>
      <c r="T20" s="315"/>
      <c r="U20" s="315"/>
      <c r="V20" s="315"/>
      <c r="W20" s="254">
        <f t="shared" si="13"/>
        <v>0</v>
      </c>
      <c r="X20" s="314"/>
      <c r="Y20" s="315"/>
      <c r="Z20" s="315"/>
      <c r="AA20" s="315"/>
      <c r="AB20" s="315"/>
      <c r="AC20" s="315"/>
      <c r="AD20" s="254">
        <f t="shared" si="14"/>
        <v>0</v>
      </c>
      <c r="AE20" s="314"/>
      <c r="AF20" s="315"/>
      <c r="AG20" s="315"/>
      <c r="AH20" s="315"/>
      <c r="AI20" s="315"/>
      <c r="AJ20" s="315"/>
      <c r="AK20" s="254">
        <f t="shared" si="15"/>
        <v>0</v>
      </c>
      <c r="AL20" s="255">
        <f t="shared" si="9"/>
        <v>0</v>
      </c>
      <c r="AM20" s="256">
        <f t="shared" si="10"/>
        <v>0</v>
      </c>
      <c r="AN20" s="257">
        <f t="shared" si="16"/>
        <v>0</v>
      </c>
      <c r="AO20"/>
      <c r="AP20"/>
    </row>
    <row r="21" spans="1:43" s="46" customFormat="1" ht="20.100000000000001" customHeight="1">
      <c r="A21" s="253" t="s">
        <v>83</v>
      </c>
      <c r="B21" s="317" t="s">
        <v>2</v>
      </c>
      <c r="C21" s="314"/>
      <c r="D21" s="315"/>
      <c r="E21" s="315"/>
      <c r="F21" s="315"/>
      <c r="G21" s="315">
        <v>1</v>
      </c>
      <c r="H21" s="315"/>
      <c r="I21" s="254">
        <f t="shared" si="11"/>
        <v>0.91666666666666874</v>
      </c>
      <c r="J21" s="314"/>
      <c r="K21" s="315"/>
      <c r="L21" s="315"/>
      <c r="M21" s="315"/>
      <c r="N21" s="315"/>
      <c r="O21" s="315"/>
      <c r="P21" s="254">
        <f t="shared" si="12"/>
        <v>0</v>
      </c>
      <c r="Q21" s="314"/>
      <c r="R21" s="315"/>
      <c r="S21" s="315"/>
      <c r="T21" s="315"/>
      <c r="U21" s="315"/>
      <c r="V21" s="315"/>
      <c r="W21" s="254">
        <f t="shared" si="13"/>
        <v>0</v>
      </c>
      <c r="X21" s="314"/>
      <c r="Y21" s="315"/>
      <c r="Z21" s="315"/>
      <c r="AA21" s="315"/>
      <c r="AB21" s="315">
        <v>1</v>
      </c>
      <c r="AC21" s="315"/>
      <c r="AD21" s="254">
        <f t="shared" si="14"/>
        <v>0.91666666666666874</v>
      </c>
      <c r="AE21" s="314"/>
      <c r="AF21" s="315"/>
      <c r="AG21" s="315"/>
      <c r="AH21" s="315"/>
      <c r="AI21" s="315"/>
      <c r="AJ21" s="315"/>
      <c r="AK21" s="254">
        <f t="shared" si="15"/>
        <v>0</v>
      </c>
      <c r="AL21" s="255">
        <f t="shared" si="9"/>
        <v>0</v>
      </c>
      <c r="AM21" s="256">
        <f t="shared" si="10"/>
        <v>1.8333333333333375</v>
      </c>
      <c r="AN21" s="257">
        <f t="shared" si="16"/>
        <v>1.8333333333333375</v>
      </c>
      <c r="AO21"/>
      <c r="AP21"/>
    </row>
    <row r="22" spans="1:43" s="127" customFormat="1" ht="20.100000000000001" customHeight="1">
      <c r="A22" s="258"/>
      <c r="B22" s="259"/>
      <c r="C22" s="260"/>
      <c r="D22" s="261"/>
      <c r="E22" s="261"/>
      <c r="F22" s="261"/>
      <c r="G22" s="261"/>
      <c r="H22" s="261"/>
      <c r="I22" s="262"/>
      <c r="J22" s="260"/>
      <c r="K22" s="261"/>
      <c r="L22" s="261"/>
      <c r="M22" s="261"/>
      <c r="N22" s="261"/>
      <c r="O22" s="261"/>
      <c r="P22" s="262"/>
      <c r="Q22" s="260"/>
      <c r="R22" s="261"/>
      <c r="S22" s="261"/>
      <c r="T22" s="261"/>
      <c r="U22" s="261"/>
      <c r="V22" s="261"/>
      <c r="W22" s="262"/>
      <c r="X22" s="321"/>
      <c r="Y22" s="322"/>
      <c r="Z22" s="322"/>
      <c r="AA22" s="322"/>
      <c r="AB22" s="322"/>
      <c r="AC22" s="322"/>
      <c r="AD22" s="262"/>
      <c r="AE22" s="260"/>
      <c r="AF22" s="261"/>
      <c r="AG22" s="261"/>
      <c r="AH22" s="261"/>
      <c r="AI22" s="261"/>
      <c r="AJ22" s="261"/>
      <c r="AK22" s="262"/>
      <c r="AL22" s="263"/>
      <c r="AM22" s="264"/>
      <c r="AN22" s="265"/>
      <c r="AO22" s="124"/>
      <c r="AP22" s="124"/>
    </row>
    <row r="23" spans="1:43" s="57" customFormat="1" ht="21" customHeight="1">
      <c r="A23" s="246" t="s">
        <v>70</v>
      </c>
      <c r="B23" s="247"/>
      <c r="C23" s="266"/>
      <c r="D23" s="267"/>
      <c r="E23" s="267"/>
      <c r="F23" s="267"/>
      <c r="G23" s="267"/>
      <c r="H23" s="267"/>
      <c r="I23" s="268"/>
      <c r="J23" s="266"/>
      <c r="K23" s="267"/>
      <c r="L23" s="267"/>
      <c r="M23" s="267"/>
      <c r="N23" s="267"/>
      <c r="O23" s="267"/>
      <c r="P23" s="268"/>
      <c r="Q23" s="266"/>
      <c r="R23" s="267"/>
      <c r="S23" s="267"/>
      <c r="T23" s="267"/>
      <c r="U23" s="267"/>
      <c r="V23" s="267"/>
      <c r="W23" s="268"/>
      <c r="X23" s="266"/>
      <c r="Y23" s="267"/>
      <c r="Z23" s="267"/>
      <c r="AA23" s="267"/>
      <c r="AB23" s="267"/>
      <c r="AC23" s="267"/>
      <c r="AD23" s="268"/>
      <c r="AE23" s="266"/>
      <c r="AF23" s="267"/>
      <c r="AG23" s="267"/>
      <c r="AH23" s="267"/>
      <c r="AI23" s="267"/>
      <c r="AJ23" s="267"/>
      <c r="AK23" s="268"/>
      <c r="AL23" s="266"/>
      <c r="AM23" s="267"/>
      <c r="AN23" s="269"/>
      <c r="AO23" s="56"/>
      <c r="AP23" s="56"/>
    </row>
    <row r="24" spans="1:43" s="29" customFormat="1" ht="24.95" customHeight="1">
      <c r="A24" s="270" t="s">
        <v>71</v>
      </c>
      <c r="B24" s="271"/>
      <c r="C24" s="272"/>
      <c r="D24" s="273"/>
      <c r="E24" s="273"/>
      <c r="F24" s="273"/>
      <c r="G24" s="273"/>
      <c r="H24" s="273"/>
      <c r="I24" s="254">
        <f>SUM(I11:I21)</f>
        <v>11.25</v>
      </c>
      <c r="J24" s="272"/>
      <c r="K24" s="273"/>
      <c r="L24" s="273"/>
      <c r="M24" s="273"/>
      <c r="N24" s="273"/>
      <c r="O24" s="273"/>
      <c r="P24" s="254">
        <f>SUM(P11:P21)</f>
        <v>0</v>
      </c>
      <c r="Q24" s="272"/>
      <c r="R24" s="273"/>
      <c r="S24" s="273"/>
      <c r="T24" s="273"/>
      <c r="U24" s="273"/>
      <c r="V24" s="273"/>
      <c r="W24" s="254">
        <f>SUM(W11:W21)</f>
        <v>0</v>
      </c>
      <c r="X24" s="272"/>
      <c r="Y24" s="273"/>
      <c r="Z24" s="273"/>
      <c r="AA24" s="273"/>
      <c r="AB24" s="273"/>
      <c r="AC24" s="273"/>
      <c r="AD24" s="254">
        <f>SUM(AD11:AD21)</f>
        <v>12.583333333333336</v>
      </c>
      <c r="AE24" s="272"/>
      <c r="AF24" s="273"/>
      <c r="AG24" s="273"/>
      <c r="AH24" s="273"/>
      <c r="AI24" s="273"/>
      <c r="AJ24" s="273"/>
      <c r="AK24" s="254">
        <f>SUM(AK11:AK21)</f>
        <v>0</v>
      </c>
      <c r="AL24" s="255">
        <f>SUM(AL11:AL21)</f>
        <v>14.66666666666667</v>
      </c>
      <c r="AM24" s="256">
        <f>SUM(AM11:AM21)</f>
        <v>9.166666666666675</v>
      </c>
      <c r="AN24" s="257">
        <f>SUM(AN11:AN21)</f>
        <v>23.833333333333343</v>
      </c>
      <c r="AO24"/>
      <c r="AP24"/>
      <c r="AQ24" s="52"/>
    </row>
    <row r="25" spans="1:43" s="54" customFormat="1" ht="24.95" customHeight="1">
      <c r="A25" s="270" t="s">
        <v>152</v>
      </c>
      <c r="B25" s="274"/>
      <c r="C25" s="275"/>
      <c r="D25" s="276"/>
      <c r="E25" s="276"/>
      <c r="F25" s="276"/>
      <c r="G25" s="276"/>
      <c r="H25" s="276"/>
      <c r="I25" s="277"/>
      <c r="J25" s="278"/>
      <c r="K25" s="279"/>
      <c r="L25" s="279"/>
      <c r="M25" s="279"/>
      <c r="N25" s="279"/>
      <c r="O25" s="279"/>
      <c r="P25" s="277"/>
      <c r="Q25" s="278"/>
      <c r="R25" s="279"/>
      <c r="S25" s="279"/>
      <c r="T25" s="279"/>
      <c r="U25" s="279"/>
      <c r="V25" s="279"/>
      <c r="W25" s="277"/>
      <c r="X25" s="278"/>
      <c r="Y25" s="279"/>
      <c r="Z25" s="279"/>
      <c r="AA25" s="279"/>
      <c r="AB25" s="279"/>
      <c r="AC25" s="279"/>
      <c r="AD25" s="277"/>
      <c r="AE25" s="278"/>
      <c r="AF25" s="279"/>
      <c r="AG25" s="279"/>
      <c r="AH25" s="279"/>
      <c r="AI25" s="279"/>
      <c r="AJ25" s="279"/>
      <c r="AK25" s="277"/>
      <c r="AL25" s="280"/>
      <c r="AM25" s="281"/>
      <c r="AN25" s="282">
        <f>AL24/AN24</f>
        <v>0.61538461538461531</v>
      </c>
      <c r="AO25"/>
      <c r="AP25"/>
      <c r="AQ25" s="53"/>
    </row>
    <row r="26" spans="1:43" s="29" customFormat="1" ht="21" customHeight="1">
      <c r="A26" s="283" t="s">
        <v>192</v>
      </c>
      <c r="B26" s="271"/>
      <c r="C26" s="284">
        <f t="shared" ref="C26:H26" si="17">IF(C8="","",C7/SUM(C11:C21))</f>
        <v>6</v>
      </c>
      <c r="D26" s="285">
        <f t="shared" si="17"/>
        <v>6</v>
      </c>
      <c r="E26" s="285" t="str">
        <f t="shared" si="17"/>
        <v/>
      </c>
      <c r="F26" s="285">
        <f t="shared" si="17"/>
        <v>4.333333333333333</v>
      </c>
      <c r="G26" s="285">
        <f t="shared" si="17"/>
        <v>3.6666666666666665</v>
      </c>
      <c r="H26" s="286">
        <f t="shared" si="17"/>
        <v>4</v>
      </c>
      <c r="I26" s="255">
        <f>IF(I8=0,"",AVERAGE(C26:H26))</f>
        <v>4.8</v>
      </c>
      <c r="J26" s="284" t="str">
        <f t="shared" ref="J26:O26" si="18">IF(J8="","",J7/SUM(J11:J21))</f>
        <v/>
      </c>
      <c r="K26" s="285" t="str">
        <f t="shared" si="18"/>
        <v/>
      </c>
      <c r="L26" s="285" t="str">
        <f t="shared" si="18"/>
        <v/>
      </c>
      <c r="M26" s="285" t="str">
        <f t="shared" si="18"/>
        <v/>
      </c>
      <c r="N26" s="285" t="str">
        <f t="shared" si="18"/>
        <v/>
      </c>
      <c r="O26" s="286" t="str">
        <f t="shared" si="18"/>
        <v/>
      </c>
      <c r="P26" s="255" t="str">
        <f>IF(P8=0,"",AVERAGE(J26:O26))</f>
        <v/>
      </c>
      <c r="Q26" s="284" t="str">
        <f t="shared" ref="Q26:V26" si="19">IF(Q8="","",Q7/SUM(Q11:Q21))</f>
        <v/>
      </c>
      <c r="R26" s="285" t="str">
        <f t="shared" si="19"/>
        <v/>
      </c>
      <c r="S26" s="285" t="str">
        <f t="shared" si="19"/>
        <v/>
      </c>
      <c r="T26" s="285" t="str">
        <f t="shared" si="19"/>
        <v/>
      </c>
      <c r="U26" s="285" t="str">
        <f t="shared" si="19"/>
        <v/>
      </c>
      <c r="V26" s="286" t="str">
        <f t="shared" si="19"/>
        <v/>
      </c>
      <c r="W26" s="287" t="str">
        <f>IF(W8=0,"",AVERAGE(Q26:V26))</f>
        <v/>
      </c>
      <c r="X26" s="286">
        <f t="shared" ref="X26:AC26" si="20">IF(X8="","",X7/SUM(X11:X21))</f>
        <v>5</v>
      </c>
      <c r="Y26" s="285">
        <f t="shared" si="20"/>
        <v>4</v>
      </c>
      <c r="Z26" s="285">
        <f t="shared" si="20"/>
        <v>7</v>
      </c>
      <c r="AA26" s="285">
        <f t="shared" si="20"/>
        <v>8</v>
      </c>
      <c r="AB26" s="285">
        <f t="shared" si="20"/>
        <v>2.6666666666666665</v>
      </c>
      <c r="AC26" s="286">
        <f t="shared" si="20"/>
        <v>4</v>
      </c>
      <c r="AD26" s="287">
        <f>IF(AD8=0,"",AVERAGE(X26:AC26))</f>
        <v>5.1111111111111116</v>
      </c>
      <c r="AE26" s="286" t="str">
        <f t="shared" ref="AE26:AJ26" si="21">IF(AE8="","",AE7/SUM(AE11:AE21))</f>
        <v/>
      </c>
      <c r="AF26" s="285" t="str">
        <f t="shared" si="21"/>
        <v/>
      </c>
      <c r="AG26" s="285" t="str">
        <f t="shared" si="21"/>
        <v/>
      </c>
      <c r="AH26" s="285" t="str">
        <f t="shared" si="21"/>
        <v/>
      </c>
      <c r="AI26" s="285" t="str">
        <f t="shared" si="21"/>
        <v/>
      </c>
      <c r="AJ26" s="286" t="str">
        <f t="shared" si="21"/>
        <v/>
      </c>
      <c r="AK26" s="288" t="str">
        <f>IF(AK8=0,"",AVERAGE(AE26:AJ26))</f>
        <v/>
      </c>
      <c r="AL26" s="289"/>
      <c r="AM26" s="290"/>
      <c r="AN26" s="291">
        <f>AVERAGE(I26,P26,W26,AD26,AK26)</f>
        <v>4.9555555555555557</v>
      </c>
      <c r="AO26"/>
      <c r="AP26"/>
    </row>
    <row r="27" spans="1:43" s="36" customFormat="1" ht="24.95" customHeight="1">
      <c r="A27" s="292" t="s">
        <v>72</v>
      </c>
      <c r="B27" s="293"/>
      <c r="C27" s="284">
        <f t="shared" ref="C27:H27" si="22">IF(C8="","",C7*C6)</f>
        <v>5.9999999999999947</v>
      </c>
      <c r="D27" s="285">
        <f t="shared" si="22"/>
        <v>21.000000000000007</v>
      </c>
      <c r="E27" s="285" t="str">
        <f t="shared" si="22"/>
        <v/>
      </c>
      <c r="F27" s="285">
        <f t="shared" si="22"/>
        <v>12.999999999999989</v>
      </c>
      <c r="G27" s="285">
        <f t="shared" si="22"/>
        <v>10.083333333333357</v>
      </c>
      <c r="H27" s="286">
        <f t="shared" si="22"/>
        <v>3.9999999999999964</v>
      </c>
      <c r="I27" s="288">
        <f>IF(I8=0,0,SUM(C27:H27))</f>
        <v>54.083333333333343</v>
      </c>
      <c r="J27" s="284" t="str">
        <f t="shared" ref="J27:O27" si="23">IF(J8="","",J7*J6)</f>
        <v/>
      </c>
      <c r="K27" s="285" t="str">
        <f t="shared" si="23"/>
        <v/>
      </c>
      <c r="L27" s="285" t="str">
        <f t="shared" si="23"/>
        <v/>
      </c>
      <c r="M27" s="285" t="str">
        <f t="shared" si="23"/>
        <v/>
      </c>
      <c r="N27" s="285" t="str">
        <f t="shared" si="23"/>
        <v/>
      </c>
      <c r="O27" s="286" t="str">
        <f t="shared" si="23"/>
        <v/>
      </c>
      <c r="P27" s="288">
        <f>IF(P8=0,0,SUM(J27:O27))</f>
        <v>0</v>
      </c>
      <c r="Q27" s="284" t="str">
        <f t="shared" ref="Q27:V27" si="24">IF(Q8="","",Q7*Q6)</f>
        <v/>
      </c>
      <c r="R27" s="285" t="str">
        <f t="shared" si="24"/>
        <v/>
      </c>
      <c r="S27" s="285" t="str">
        <f t="shared" si="24"/>
        <v/>
      </c>
      <c r="T27" s="285" t="str">
        <f t="shared" si="24"/>
        <v/>
      </c>
      <c r="U27" s="285" t="str">
        <f t="shared" si="24"/>
        <v/>
      </c>
      <c r="V27" s="286" t="str">
        <f t="shared" si="24"/>
        <v/>
      </c>
      <c r="W27" s="287">
        <f>IF(W8=0,0,SUM(Q27:V27))</f>
        <v>0</v>
      </c>
      <c r="X27" s="286">
        <f t="shared" ref="X27:AC27" si="25">IF(X8="","",X7*X6)</f>
        <v>4.9999999999999956</v>
      </c>
      <c r="Y27" s="285">
        <f t="shared" si="25"/>
        <v>21.000000000000007</v>
      </c>
      <c r="Z27" s="285">
        <f t="shared" si="25"/>
        <v>11.083333333333332</v>
      </c>
      <c r="AA27" s="285">
        <f t="shared" si="25"/>
        <v>7.9999999999999929</v>
      </c>
      <c r="AB27" s="285">
        <f t="shared" si="25"/>
        <v>7.3333333333333499</v>
      </c>
      <c r="AC27" s="286">
        <f t="shared" si="25"/>
        <v>3.9999999999999964</v>
      </c>
      <c r="AD27" s="287">
        <f>IF(AD8=0,0,SUM(X27:AC27))</f>
        <v>56.416666666666671</v>
      </c>
      <c r="AE27" s="286" t="str">
        <f t="shared" ref="AE27:AJ27" si="26">IF(AE8="","",AE7*AE6)</f>
        <v/>
      </c>
      <c r="AF27" s="285" t="str">
        <f t="shared" si="26"/>
        <v/>
      </c>
      <c r="AG27" s="285" t="str">
        <f t="shared" si="26"/>
        <v/>
      </c>
      <c r="AH27" s="285" t="str">
        <f t="shared" si="26"/>
        <v/>
      </c>
      <c r="AI27" s="285" t="str">
        <f t="shared" si="26"/>
        <v/>
      </c>
      <c r="AJ27" s="286" t="str">
        <f t="shared" si="26"/>
        <v/>
      </c>
      <c r="AK27" s="288">
        <f>IF(AK8=0,0,SUM(AE27:AJ27))</f>
        <v>0</v>
      </c>
      <c r="AL27" s="289"/>
      <c r="AM27" s="290"/>
      <c r="AN27" s="291">
        <f>SUM(I27,P27,W27,AD27,AK27)</f>
        <v>110.50000000000001</v>
      </c>
      <c r="AO27"/>
      <c r="AP27"/>
    </row>
    <row r="28" spans="1:43" s="29" customFormat="1" ht="24.95" customHeight="1">
      <c r="A28" s="294" t="s">
        <v>197</v>
      </c>
      <c r="B28" s="271"/>
      <c r="C28" s="295"/>
      <c r="D28" s="296">
        <f>IF(D8="","",D7)</f>
        <v>12</v>
      </c>
      <c r="E28" s="297"/>
      <c r="F28" s="297"/>
      <c r="G28" s="297"/>
      <c r="H28" s="297"/>
      <c r="I28" s="298"/>
      <c r="J28" s="295"/>
      <c r="K28" s="296" t="str">
        <f>IF(K8="","",K7)</f>
        <v/>
      </c>
      <c r="L28" s="297"/>
      <c r="M28" s="297"/>
      <c r="N28" s="297"/>
      <c r="O28" s="297"/>
      <c r="P28" s="298"/>
      <c r="Q28" s="295"/>
      <c r="R28" s="296" t="str">
        <f>IF(R8="","",R7)</f>
        <v/>
      </c>
      <c r="S28" s="297"/>
      <c r="T28" s="297"/>
      <c r="U28" s="297"/>
      <c r="V28" s="297"/>
      <c r="W28" s="298"/>
      <c r="X28" s="295"/>
      <c r="Y28" s="296">
        <f>IF(Y8="","",Y7)</f>
        <v>12</v>
      </c>
      <c r="Z28" s="297"/>
      <c r="AA28" s="297"/>
      <c r="AB28" s="297"/>
      <c r="AC28" s="297"/>
      <c r="AD28" s="299"/>
      <c r="AE28" s="295"/>
      <c r="AF28" s="296" t="str">
        <f>IF(AF8="","",AF7)</f>
        <v/>
      </c>
      <c r="AG28" s="297"/>
      <c r="AH28" s="297"/>
      <c r="AI28" s="297"/>
      <c r="AJ28" s="297"/>
      <c r="AK28" s="298"/>
      <c r="AL28" s="300"/>
      <c r="AM28" s="301"/>
      <c r="AN28" s="302">
        <f>SUM(C28:AJ28)</f>
        <v>24</v>
      </c>
      <c r="AO28"/>
      <c r="AP28"/>
    </row>
    <row r="29" spans="1:43" s="29" customFormat="1" ht="21" customHeight="1">
      <c r="A29" s="294" t="s">
        <v>73</v>
      </c>
      <c r="B29" s="271"/>
      <c r="C29" s="295"/>
      <c r="D29" s="296">
        <f>IF(D8="","",SUM(D11:D21))</f>
        <v>2</v>
      </c>
      <c r="E29" s="297"/>
      <c r="F29" s="297"/>
      <c r="G29" s="297"/>
      <c r="H29" s="297"/>
      <c r="I29" s="298"/>
      <c r="J29" s="295"/>
      <c r="K29" s="296" t="str">
        <f>IF(K8="","",SUM(K11:K21))</f>
        <v/>
      </c>
      <c r="L29" s="297"/>
      <c r="M29" s="297"/>
      <c r="N29" s="297"/>
      <c r="O29" s="297"/>
      <c r="P29" s="298"/>
      <c r="Q29" s="295"/>
      <c r="R29" s="296" t="str">
        <f>IF(R8="","",SUM(R11:R21))</f>
        <v/>
      </c>
      <c r="S29" s="297"/>
      <c r="T29" s="297"/>
      <c r="U29" s="297"/>
      <c r="V29" s="297"/>
      <c r="W29" s="298"/>
      <c r="X29" s="295"/>
      <c r="Y29" s="296">
        <f>IF(Y8="","",SUM(Y11:Y21))</f>
        <v>3</v>
      </c>
      <c r="Z29" s="297"/>
      <c r="AA29" s="297"/>
      <c r="AB29" s="297"/>
      <c r="AC29" s="297"/>
      <c r="AD29" s="299"/>
      <c r="AE29" s="295"/>
      <c r="AF29" s="296" t="str">
        <f>IF(AF8="","",SUM(AF11:AF21))</f>
        <v/>
      </c>
      <c r="AG29" s="297"/>
      <c r="AH29" s="297"/>
      <c r="AI29" s="297"/>
      <c r="AJ29" s="297"/>
      <c r="AK29" s="298"/>
      <c r="AL29" s="300"/>
      <c r="AM29" s="301"/>
      <c r="AN29" s="302">
        <f>SUM(C29:AJ29)</f>
        <v>5</v>
      </c>
      <c r="AO29"/>
      <c r="AP29"/>
    </row>
    <row r="30" spans="1:43" s="123" customFormat="1" ht="12">
      <c r="A30" s="319"/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124"/>
      <c r="AP30" s="124"/>
    </row>
    <row r="31" spans="1:43" s="123" customFormat="1" ht="12">
      <c r="A31" s="319"/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124"/>
      <c r="AP31" s="124"/>
    </row>
    <row r="32" spans="1:43" s="29" customFormat="1" ht="12">
      <c r="A32" s="320" t="s">
        <v>85</v>
      </c>
      <c r="B32" s="203" t="s">
        <v>86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/>
      <c r="AP32"/>
    </row>
    <row r="33" spans="1:42" s="29" customFormat="1" ht="12">
      <c r="A33" s="203"/>
      <c r="B33" s="203" t="s">
        <v>87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/>
      <c r="AP33"/>
    </row>
    <row r="34" spans="1:42" s="29" customFormat="1" ht="12">
      <c r="AG34" s="55"/>
      <c r="AO34"/>
      <c r="AP34"/>
    </row>
    <row r="35" spans="1:42" s="29" customFormat="1" ht="12">
      <c r="AO35"/>
      <c r="AP35"/>
    </row>
    <row r="36" spans="1:42" s="29" customFormat="1">
      <c r="A36" s="24"/>
      <c r="AO36"/>
      <c r="AP36"/>
    </row>
    <row r="37" spans="1:42" s="29" customFormat="1" ht="12">
      <c r="AO37"/>
      <c r="AP37"/>
    </row>
    <row r="38" spans="1:42" s="29" customFormat="1" ht="12">
      <c r="AO38"/>
      <c r="AP38"/>
    </row>
    <row r="39" spans="1:42" s="29" customFormat="1" ht="12">
      <c r="AO39"/>
      <c r="AP39"/>
    </row>
    <row r="40" spans="1:42" s="29" customFormat="1" ht="12">
      <c r="AO40"/>
      <c r="AP40"/>
    </row>
    <row r="41" spans="1:42" s="29" customFormat="1" ht="12">
      <c r="AO41"/>
      <c r="AP41"/>
    </row>
    <row r="42" spans="1:42" s="29" customFormat="1" ht="12">
      <c r="AO42"/>
      <c r="AP42"/>
    </row>
    <row r="43" spans="1:42" s="29" customFormat="1" ht="12">
      <c r="AO43"/>
      <c r="AP43"/>
    </row>
    <row r="44" spans="1:42" s="29" customFormat="1" ht="12">
      <c r="AO44"/>
      <c r="AP44"/>
    </row>
    <row r="45" spans="1:42" s="29" customFormat="1" ht="12">
      <c r="AO45"/>
      <c r="AP45"/>
    </row>
    <row r="46" spans="1:42" s="29" customFormat="1" ht="12">
      <c r="AO46"/>
      <c r="AP46"/>
    </row>
    <row r="47" spans="1:42" s="29" customFormat="1" ht="12">
      <c r="AO47"/>
      <c r="AP47"/>
    </row>
    <row r="48" spans="1:42" s="29" customFormat="1" ht="12">
      <c r="AO48"/>
      <c r="AP48"/>
    </row>
    <row r="49" spans="41:42" s="29" customFormat="1" ht="12">
      <c r="AO49"/>
      <c r="AP49"/>
    </row>
    <row r="50" spans="41:42" s="29" customFormat="1" ht="12">
      <c r="AO50"/>
      <c r="AP50"/>
    </row>
    <row r="51" spans="41:42" s="29" customFormat="1" ht="12">
      <c r="AO51"/>
      <c r="AP51"/>
    </row>
    <row r="52" spans="41:42" s="29" customFormat="1" ht="12">
      <c r="AO52"/>
      <c r="AP52"/>
    </row>
    <row r="53" spans="41:42" s="29" customFormat="1" ht="12">
      <c r="AO53"/>
      <c r="AP53"/>
    </row>
    <row r="54" spans="41:42" s="29" customFormat="1" ht="12">
      <c r="AO54"/>
      <c r="AP54"/>
    </row>
    <row r="55" spans="41:42" s="29" customFormat="1" ht="12">
      <c r="AO55"/>
      <c r="AP55"/>
    </row>
    <row r="56" spans="41:42" s="29" customFormat="1" ht="12">
      <c r="AO56"/>
      <c r="AP56"/>
    </row>
    <row r="57" spans="41:42" s="29" customFormat="1" ht="12">
      <c r="AO57"/>
      <c r="AP57"/>
    </row>
    <row r="58" spans="41:42" s="29" customFormat="1" ht="12">
      <c r="AO58"/>
      <c r="AP58"/>
    </row>
    <row r="59" spans="41:42" s="29" customFormat="1" ht="12">
      <c r="AO59"/>
      <c r="AP59"/>
    </row>
    <row r="60" spans="41:42" s="29" customFormat="1" ht="12">
      <c r="AO60"/>
      <c r="AP60"/>
    </row>
    <row r="61" spans="41:42" s="29" customFormat="1" ht="12">
      <c r="AO61"/>
      <c r="AP61"/>
    </row>
    <row r="62" spans="41:42" s="29" customFormat="1" ht="12">
      <c r="AO62"/>
      <c r="AP62"/>
    </row>
    <row r="63" spans="41:42" s="29" customFormat="1" ht="12">
      <c r="AO63"/>
      <c r="AP63"/>
    </row>
    <row r="64" spans="41:42" s="29" customFormat="1" ht="12">
      <c r="AO64"/>
      <c r="AP64"/>
    </row>
    <row r="65" spans="41:42" s="29" customFormat="1" ht="12">
      <c r="AO65"/>
      <c r="AP65"/>
    </row>
    <row r="66" spans="41:42" s="29" customFormat="1" ht="12">
      <c r="AO66"/>
      <c r="AP66"/>
    </row>
    <row r="67" spans="41:42" s="29" customFormat="1" ht="12">
      <c r="AO67"/>
      <c r="AP67"/>
    </row>
    <row r="68" spans="41:42" s="29" customFormat="1" ht="12">
      <c r="AO68"/>
      <c r="AP68"/>
    </row>
  </sheetData>
  <sheetProtection password="CCBC" sheet="1"/>
  <customSheetViews>
    <customSheetView guid="{48BF2AC7-6055-432C-8BF0-71FB56F968AB}" scale="85" showGridLines="0" hiddenColumns="1">
      <selection activeCell="A2" sqref="A2"/>
      <pageMargins left="0.7" right="0.7" top="0.78740157499999996" bottom="0.78740157499999996" header="0.3" footer="0.3"/>
    </customSheetView>
  </customSheetViews>
  <mergeCells count="5">
    <mergeCell ref="I4:I5"/>
    <mergeCell ref="P4:P5"/>
    <mergeCell ref="W4:W5"/>
    <mergeCell ref="AD4:AD5"/>
    <mergeCell ref="AK4:AK5"/>
  </mergeCells>
  <dataValidations count="3">
    <dataValidation allowBlank="1" showInputMessage="1" showErrorMessage="1" prompt="Pour que les valeurs soient prises en compte dans l'établissement du budget, vous devez absolument mettre un X dans la case en question._x000a__x000a_" sqref="A8"/>
    <dataValidation allowBlank="1" showInputMessage="1" showErrorMessage="1" prompt="Enregistrer les horaires des modules sous &quot;lundi&quot;; ils seront ensuite reportés sur les cinq jours de la semaine" sqref="A5"/>
    <dataValidation allowBlank="1" showInputMessage="1" showErrorMessage="1" prompt="Enregistrer les horaires des modules sous &quot;lundi&quot;; ils seront ensuite reportés sur les cinq jours de la semaine_x000a_" sqref="A4"/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Q68"/>
  <sheetViews>
    <sheetView showGridLines="0" zoomScale="85" zoomScaleNormal="85" workbookViewId="0">
      <selection activeCell="Z42" sqref="Z42"/>
    </sheetView>
  </sheetViews>
  <sheetFormatPr baseColWidth="10" defaultColWidth="10.85546875" defaultRowHeight="12.75"/>
  <cols>
    <col min="1" max="1" width="26" style="12" customWidth="1"/>
    <col min="2" max="2" width="5.42578125" style="12" customWidth="1"/>
    <col min="3" max="8" width="5.140625" style="2" customWidth="1"/>
    <col min="9" max="9" width="6.140625" style="2" customWidth="1"/>
    <col min="10" max="15" width="5.140625" style="29" customWidth="1"/>
    <col min="16" max="16" width="6.5703125" style="29" bestFit="1" customWidth="1"/>
    <col min="17" max="19" width="5.140625" style="29" customWidth="1"/>
    <col min="20" max="22" width="5.140625" style="2" customWidth="1"/>
    <col min="23" max="23" width="5.7109375" style="2" customWidth="1"/>
    <col min="24" max="29" width="5.140625" style="2" customWidth="1"/>
    <col min="30" max="30" width="5.7109375" style="2" customWidth="1"/>
    <col min="31" max="36" width="5.140625" style="2" customWidth="1"/>
    <col min="37" max="37" width="5.42578125" style="2" bestFit="1" customWidth="1"/>
    <col min="38" max="38" width="5.7109375" style="2" customWidth="1"/>
    <col min="39" max="39" width="5.42578125" style="2" bestFit="1" customWidth="1"/>
    <col min="40" max="40" width="6.5703125" style="2" customWidth="1"/>
    <col min="41" max="41" width="5.85546875" customWidth="1"/>
    <col min="42" max="42" width="5.85546875" hidden="1" customWidth="1"/>
    <col min="43" max="43" width="4.42578125" style="2" customWidth="1"/>
    <col min="44" max="16384" width="10.85546875" style="2"/>
  </cols>
  <sheetData>
    <row r="1" spans="1:42" s="1" customFormat="1" ht="18.75">
      <c r="A1" s="201" t="s">
        <v>208</v>
      </c>
      <c r="B1" s="201"/>
      <c r="C1" s="202"/>
      <c r="D1" s="202"/>
      <c r="E1" s="202"/>
      <c r="F1" s="202"/>
      <c r="G1" s="202"/>
      <c r="H1" s="202"/>
      <c r="I1" s="202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/>
      <c r="AP1"/>
    </row>
    <row r="2" spans="1:42">
      <c r="A2" s="204"/>
      <c r="B2" s="204"/>
      <c r="C2" s="205"/>
      <c r="D2" s="205"/>
      <c r="E2" s="205"/>
      <c r="F2" s="205"/>
      <c r="G2" s="205"/>
      <c r="H2" s="205"/>
      <c r="I2" s="205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1:42" ht="15" customHeight="1">
      <c r="A3" s="204"/>
      <c r="B3" s="204"/>
      <c r="C3" s="206" t="s">
        <v>55</v>
      </c>
      <c r="D3" s="207"/>
      <c r="E3" s="207"/>
      <c r="F3" s="207"/>
      <c r="G3" s="207"/>
      <c r="H3" s="208"/>
      <c r="I3" s="209"/>
      <c r="J3" s="206" t="s">
        <v>57</v>
      </c>
      <c r="K3" s="207"/>
      <c r="L3" s="207"/>
      <c r="M3" s="207"/>
      <c r="N3" s="207"/>
      <c r="O3" s="208"/>
      <c r="P3" s="209"/>
      <c r="Q3" s="206" t="s">
        <v>59</v>
      </c>
      <c r="R3" s="207"/>
      <c r="S3" s="207"/>
      <c r="T3" s="207"/>
      <c r="U3" s="207"/>
      <c r="V3" s="208"/>
      <c r="W3" s="209"/>
      <c r="X3" s="206" t="s">
        <v>61</v>
      </c>
      <c r="Y3" s="207"/>
      <c r="Z3" s="207"/>
      <c r="AA3" s="207"/>
      <c r="AB3" s="207"/>
      <c r="AC3" s="208"/>
      <c r="AD3" s="209"/>
      <c r="AE3" s="206" t="s">
        <v>63</v>
      </c>
      <c r="AF3" s="207"/>
      <c r="AG3" s="207"/>
      <c r="AH3" s="207"/>
      <c r="AI3" s="207"/>
      <c r="AJ3" s="208"/>
      <c r="AK3" s="209"/>
      <c r="AL3" s="206" t="s">
        <v>65</v>
      </c>
      <c r="AM3" s="207"/>
      <c r="AN3" s="210"/>
    </row>
    <row r="4" spans="1:42" s="8" customFormat="1" ht="37.5" customHeight="1">
      <c r="A4" s="211" t="s">
        <v>66</v>
      </c>
      <c r="B4" s="212"/>
      <c r="C4" s="303">
        <v>0.29166666666666669</v>
      </c>
      <c r="D4" s="304">
        <v>0.48958333333333331</v>
      </c>
      <c r="E4" s="304">
        <f>D5</f>
        <v>0.5625</v>
      </c>
      <c r="F4" s="304">
        <f>E5</f>
        <v>0.62847222222222221</v>
      </c>
      <c r="G4" s="304">
        <f>F5</f>
        <v>0.67013888888888884</v>
      </c>
      <c r="H4" s="304">
        <f>G5</f>
        <v>0.70833333333333337</v>
      </c>
      <c r="I4" s="331" t="s">
        <v>56</v>
      </c>
      <c r="J4" s="303">
        <f>C4</f>
        <v>0.29166666666666669</v>
      </c>
      <c r="K4" s="303">
        <f t="shared" ref="K4:O5" si="0">D4</f>
        <v>0.48958333333333331</v>
      </c>
      <c r="L4" s="303">
        <f t="shared" si="0"/>
        <v>0.5625</v>
      </c>
      <c r="M4" s="303">
        <f t="shared" si="0"/>
        <v>0.62847222222222221</v>
      </c>
      <c r="N4" s="303">
        <f t="shared" si="0"/>
        <v>0.67013888888888884</v>
      </c>
      <c r="O4" s="303">
        <f t="shared" si="0"/>
        <v>0.70833333333333337</v>
      </c>
      <c r="P4" s="331" t="s">
        <v>58</v>
      </c>
      <c r="Q4" s="306">
        <f>J4</f>
        <v>0.29166666666666669</v>
      </c>
      <c r="R4" s="306">
        <f t="shared" ref="R4:V5" si="1">K4</f>
        <v>0.48958333333333331</v>
      </c>
      <c r="S4" s="306">
        <f t="shared" si="1"/>
        <v>0.5625</v>
      </c>
      <c r="T4" s="306">
        <f t="shared" si="1"/>
        <v>0.62847222222222221</v>
      </c>
      <c r="U4" s="306">
        <f t="shared" si="1"/>
        <v>0.67013888888888884</v>
      </c>
      <c r="V4" s="306">
        <f t="shared" si="1"/>
        <v>0.70833333333333337</v>
      </c>
      <c r="W4" s="331" t="s">
        <v>60</v>
      </c>
      <c r="X4" s="306">
        <f>C4</f>
        <v>0.29166666666666669</v>
      </c>
      <c r="Y4" s="306">
        <f t="shared" ref="Y4:AC5" si="2">D4</f>
        <v>0.48958333333333331</v>
      </c>
      <c r="Z4" s="306">
        <f t="shared" si="2"/>
        <v>0.5625</v>
      </c>
      <c r="AA4" s="306">
        <f t="shared" si="2"/>
        <v>0.62847222222222221</v>
      </c>
      <c r="AB4" s="306">
        <f t="shared" si="2"/>
        <v>0.67013888888888884</v>
      </c>
      <c r="AC4" s="306">
        <f t="shared" si="2"/>
        <v>0.70833333333333337</v>
      </c>
      <c r="AD4" s="331" t="s">
        <v>62</v>
      </c>
      <c r="AE4" s="306">
        <f>C4</f>
        <v>0.29166666666666669</v>
      </c>
      <c r="AF4" s="306">
        <f t="shared" ref="AF4:AJ5" si="3">D4</f>
        <v>0.48958333333333331</v>
      </c>
      <c r="AG4" s="306">
        <f t="shared" si="3"/>
        <v>0.5625</v>
      </c>
      <c r="AH4" s="306">
        <f t="shared" si="3"/>
        <v>0.62847222222222221</v>
      </c>
      <c r="AI4" s="306">
        <f t="shared" si="3"/>
        <v>0.67013888888888884</v>
      </c>
      <c r="AJ4" s="306">
        <f t="shared" si="3"/>
        <v>0.70833333333333337</v>
      </c>
      <c r="AK4" s="333" t="s">
        <v>64</v>
      </c>
      <c r="AL4" s="213"/>
      <c r="AM4" s="214"/>
      <c r="AN4" s="215"/>
      <c r="AO4"/>
      <c r="AP4"/>
    </row>
    <row r="5" spans="1:42" s="8" customFormat="1" ht="37.5" customHeight="1">
      <c r="A5" s="211" t="s">
        <v>67</v>
      </c>
      <c r="B5" s="216"/>
      <c r="C5" s="305">
        <v>0.33333333333333331</v>
      </c>
      <c r="D5" s="304">
        <v>0.5625</v>
      </c>
      <c r="E5" s="304">
        <v>0.62847222222222221</v>
      </c>
      <c r="F5" s="304">
        <v>0.67013888888888884</v>
      </c>
      <c r="G5" s="304">
        <v>0.70833333333333337</v>
      </c>
      <c r="H5" s="304">
        <v>0.75</v>
      </c>
      <c r="I5" s="332"/>
      <c r="J5" s="303">
        <f>C5</f>
        <v>0.33333333333333331</v>
      </c>
      <c r="K5" s="303">
        <f t="shared" si="0"/>
        <v>0.5625</v>
      </c>
      <c r="L5" s="303">
        <f t="shared" si="0"/>
        <v>0.62847222222222221</v>
      </c>
      <c r="M5" s="303">
        <f t="shared" si="0"/>
        <v>0.67013888888888884</v>
      </c>
      <c r="N5" s="303">
        <f t="shared" si="0"/>
        <v>0.70833333333333337</v>
      </c>
      <c r="O5" s="303">
        <f t="shared" si="0"/>
        <v>0.75</v>
      </c>
      <c r="P5" s="332"/>
      <c r="Q5" s="306">
        <f>J5</f>
        <v>0.33333333333333331</v>
      </c>
      <c r="R5" s="306">
        <f t="shared" si="1"/>
        <v>0.5625</v>
      </c>
      <c r="S5" s="306">
        <f t="shared" si="1"/>
        <v>0.62847222222222221</v>
      </c>
      <c r="T5" s="306">
        <f t="shared" si="1"/>
        <v>0.67013888888888884</v>
      </c>
      <c r="U5" s="306">
        <f t="shared" si="1"/>
        <v>0.70833333333333337</v>
      </c>
      <c r="V5" s="306">
        <f t="shared" si="1"/>
        <v>0.75</v>
      </c>
      <c r="W5" s="332"/>
      <c r="X5" s="306">
        <f>C5</f>
        <v>0.33333333333333331</v>
      </c>
      <c r="Y5" s="306">
        <f t="shared" si="2"/>
        <v>0.5625</v>
      </c>
      <c r="Z5" s="306">
        <f t="shared" si="2"/>
        <v>0.62847222222222221</v>
      </c>
      <c r="AA5" s="306">
        <f t="shared" si="2"/>
        <v>0.67013888888888884</v>
      </c>
      <c r="AB5" s="306">
        <f t="shared" si="2"/>
        <v>0.70833333333333337</v>
      </c>
      <c r="AC5" s="306">
        <f t="shared" si="2"/>
        <v>0.75</v>
      </c>
      <c r="AD5" s="332"/>
      <c r="AE5" s="306">
        <f>C5</f>
        <v>0.33333333333333331</v>
      </c>
      <c r="AF5" s="306">
        <f t="shared" si="3"/>
        <v>0.5625</v>
      </c>
      <c r="AG5" s="306">
        <f t="shared" si="3"/>
        <v>0.62847222222222221</v>
      </c>
      <c r="AH5" s="306">
        <f t="shared" si="3"/>
        <v>0.67013888888888884</v>
      </c>
      <c r="AI5" s="306">
        <f t="shared" si="3"/>
        <v>0.70833333333333337</v>
      </c>
      <c r="AJ5" s="306">
        <f t="shared" si="3"/>
        <v>0.75</v>
      </c>
      <c r="AK5" s="330"/>
      <c r="AL5" s="217"/>
      <c r="AM5" s="218"/>
      <c r="AN5" s="219"/>
      <c r="AO5"/>
      <c r="AP5"/>
    </row>
    <row r="6" spans="1:42" s="8" customFormat="1" ht="25.5" customHeight="1">
      <c r="A6" s="96" t="s">
        <v>68</v>
      </c>
      <c r="B6" s="96"/>
      <c r="C6" s="220">
        <f t="shared" ref="C6:H6" si="4">(C5-C4)*24</f>
        <v>0.99999999999999911</v>
      </c>
      <c r="D6" s="221">
        <f t="shared" si="4"/>
        <v>1.7500000000000004</v>
      </c>
      <c r="E6" s="221">
        <f t="shared" si="4"/>
        <v>1.583333333333333</v>
      </c>
      <c r="F6" s="221">
        <f t="shared" si="4"/>
        <v>0.99999999999999911</v>
      </c>
      <c r="G6" s="221">
        <f t="shared" si="4"/>
        <v>0.91666666666666874</v>
      </c>
      <c r="H6" s="221">
        <f t="shared" si="4"/>
        <v>0.99999999999999911</v>
      </c>
      <c r="I6" s="222"/>
      <c r="J6" s="220">
        <f t="shared" ref="J6:O6" si="5">(J5-J4)*24</f>
        <v>0.99999999999999911</v>
      </c>
      <c r="K6" s="221">
        <f t="shared" si="5"/>
        <v>1.7500000000000004</v>
      </c>
      <c r="L6" s="221">
        <f t="shared" si="5"/>
        <v>1.583333333333333</v>
      </c>
      <c r="M6" s="221">
        <f t="shared" si="5"/>
        <v>0.99999999999999911</v>
      </c>
      <c r="N6" s="221">
        <f t="shared" si="5"/>
        <v>0.91666666666666874</v>
      </c>
      <c r="O6" s="221">
        <f t="shared" si="5"/>
        <v>0.99999999999999911</v>
      </c>
      <c r="P6" s="222"/>
      <c r="Q6" s="220">
        <f t="shared" ref="Q6:V6" si="6">(Q5-Q4)*24</f>
        <v>0.99999999999999911</v>
      </c>
      <c r="R6" s="221">
        <f t="shared" si="6"/>
        <v>1.7500000000000004</v>
      </c>
      <c r="S6" s="221">
        <f t="shared" si="6"/>
        <v>1.583333333333333</v>
      </c>
      <c r="T6" s="221">
        <f t="shared" si="6"/>
        <v>0.99999999999999911</v>
      </c>
      <c r="U6" s="221">
        <f t="shared" si="6"/>
        <v>0.91666666666666874</v>
      </c>
      <c r="V6" s="221">
        <f t="shared" si="6"/>
        <v>0.99999999999999911</v>
      </c>
      <c r="W6" s="222"/>
      <c r="X6" s="220">
        <f t="shared" ref="X6:AC6" si="7">(X5-X4)*24</f>
        <v>0.99999999999999911</v>
      </c>
      <c r="Y6" s="221">
        <f t="shared" si="7"/>
        <v>1.7500000000000004</v>
      </c>
      <c r="Z6" s="221">
        <f t="shared" si="7"/>
        <v>1.583333333333333</v>
      </c>
      <c r="AA6" s="221">
        <f t="shared" si="7"/>
        <v>0.99999999999999911</v>
      </c>
      <c r="AB6" s="221">
        <f t="shared" si="7"/>
        <v>0.91666666666666874</v>
      </c>
      <c r="AC6" s="221">
        <f t="shared" si="7"/>
        <v>0.99999999999999911</v>
      </c>
      <c r="AD6" s="222"/>
      <c r="AE6" s="220">
        <f t="shared" ref="AE6:AJ6" si="8">(AE5-AE4)*24</f>
        <v>0.99999999999999911</v>
      </c>
      <c r="AF6" s="221">
        <f t="shared" si="8"/>
        <v>1.7500000000000004</v>
      </c>
      <c r="AG6" s="221">
        <f t="shared" si="8"/>
        <v>1.583333333333333</v>
      </c>
      <c r="AH6" s="221">
        <f t="shared" si="8"/>
        <v>0.99999999999999911</v>
      </c>
      <c r="AI6" s="221">
        <f t="shared" si="8"/>
        <v>0.91666666666666874</v>
      </c>
      <c r="AJ6" s="221">
        <f t="shared" si="8"/>
        <v>0.99999999999999911</v>
      </c>
      <c r="AK6" s="222"/>
      <c r="AL6" s="223"/>
      <c r="AM6" s="224"/>
      <c r="AN6" s="225"/>
      <c r="AO6"/>
      <c r="AP6"/>
    </row>
    <row r="7" spans="1:42" s="8" customFormat="1" ht="25.5" customHeight="1">
      <c r="A7" s="226" t="s">
        <v>69</v>
      </c>
      <c r="B7" s="226"/>
      <c r="C7" s="227">
        <v>6</v>
      </c>
      <c r="D7" s="228">
        <v>12</v>
      </c>
      <c r="E7" s="228">
        <v>2</v>
      </c>
      <c r="F7" s="228">
        <v>13</v>
      </c>
      <c r="G7" s="228">
        <v>11</v>
      </c>
      <c r="H7" s="228">
        <v>4</v>
      </c>
      <c r="I7" s="229"/>
      <c r="J7" s="227"/>
      <c r="K7" s="228"/>
      <c r="L7" s="228"/>
      <c r="M7" s="228"/>
      <c r="N7" s="228"/>
      <c r="O7" s="228"/>
      <c r="P7" s="230"/>
      <c r="Q7" s="227"/>
      <c r="R7" s="228"/>
      <c r="S7" s="228"/>
      <c r="T7" s="228"/>
      <c r="U7" s="228"/>
      <c r="V7" s="228"/>
      <c r="W7" s="230"/>
      <c r="X7" s="227">
        <v>5</v>
      </c>
      <c r="Y7" s="228">
        <v>12</v>
      </c>
      <c r="Z7" s="228">
        <v>7</v>
      </c>
      <c r="AA7" s="228">
        <v>8</v>
      </c>
      <c r="AB7" s="228">
        <v>8</v>
      </c>
      <c r="AC7" s="228">
        <v>4</v>
      </c>
      <c r="AD7" s="230"/>
      <c r="AE7" s="227"/>
      <c r="AF7" s="228"/>
      <c r="AG7" s="228"/>
      <c r="AH7" s="228"/>
      <c r="AI7" s="228"/>
      <c r="AJ7" s="228"/>
      <c r="AK7" s="231"/>
      <c r="AL7" s="232"/>
      <c r="AM7" s="233"/>
      <c r="AN7" s="234"/>
      <c r="AO7"/>
      <c r="AP7"/>
    </row>
    <row r="8" spans="1:42" s="8" customFormat="1" ht="25.5" customHeight="1">
      <c r="A8" s="235" t="s">
        <v>84</v>
      </c>
      <c r="B8" s="308"/>
      <c r="C8" s="309" t="s">
        <v>26</v>
      </c>
      <c r="D8" s="310" t="s">
        <v>26</v>
      </c>
      <c r="E8" s="310"/>
      <c r="F8" s="310" t="s">
        <v>26</v>
      </c>
      <c r="G8" s="310" t="s">
        <v>26</v>
      </c>
      <c r="H8" s="310" t="s">
        <v>26</v>
      </c>
      <c r="I8" s="236">
        <f>SUMIF(C8:H8,$AP$8,C6:H6)</f>
        <v>5.666666666666667</v>
      </c>
      <c r="J8" s="309"/>
      <c r="K8" s="310"/>
      <c r="L8" s="310"/>
      <c r="M8" s="310"/>
      <c r="N8" s="310"/>
      <c r="O8" s="310"/>
      <c r="P8" s="236">
        <f>SUMIF(J8:O8,$AP$8,J6:O6)</f>
        <v>0</v>
      </c>
      <c r="Q8" s="309"/>
      <c r="R8" s="310"/>
      <c r="S8" s="310"/>
      <c r="T8" s="310"/>
      <c r="U8" s="310"/>
      <c r="V8" s="310"/>
      <c r="W8" s="236">
        <f>SUMIF(Q8:V8,$AP$8,Q6:V6)</f>
        <v>0</v>
      </c>
      <c r="X8" s="309" t="s">
        <v>26</v>
      </c>
      <c r="Y8" s="310" t="s">
        <v>26</v>
      </c>
      <c r="Z8" s="310" t="s">
        <v>26</v>
      </c>
      <c r="AA8" s="310" t="s">
        <v>26</v>
      </c>
      <c r="AB8" s="310" t="s">
        <v>26</v>
      </c>
      <c r="AC8" s="310" t="s">
        <v>26</v>
      </c>
      <c r="AD8" s="236">
        <f>SUMIF(X8:AC8,$AP$8,X6:AC6)</f>
        <v>7.2499999999999991</v>
      </c>
      <c r="AE8" s="309"/>
      <c r="AF8" s="310"/>
      <c r="AG8" s="310"/>
      <c r="AH8" s="310"/>
      <c r="AI8" s="310"/>
      <c r="AJ8" s="310"/>
      <c r="AK8" s="236">
        <f>SUMIF(AE8:AJ8,$AP$8,AE6:AJ6)</f>
        <v>0</v>
      </c>
      <c r="AL8" s="223"/>
      <c r="AM8" s="224"/>
      <c r="AN8" s="237">
        <f>MAXA(I8,P8,W8,AD8,AK8)</f>
        <v>7.2499999999999991</v>
      </c>
      <c r="AO8"/>
      <c r="AP8" t="s">
        <v>26</v>
      </c>
    </row>
    <row r="9" spans="1:42" s="83" customFormat="1">
      <c r="A9" s="238"/>
      <c r="B9" s="323"/>
      <c r="C9" s="324"/>
      <c r="D9" s="311"/>
      <c r="E9" s="311"/>
      <c r="F9" s="311"/>
      <c r="G9" s="311"/>
      <c r="H9" s="311"/>
      <c r="I9" s="224"/>
      <c r="J9" s="311"/>
      <c r="K9" s="311"/>
      <c r="L9" s="311"/>
      <c r="M9" s="311"/>
      <c r="N9" s="311"/>
      <c r="O9" s="311"/>
      <c r="P9" s="224"/>
      <c r="Q9" s="311"/>
      <c r="R9" s="311"/>
      <c r="S9" s="311"/>
      <c r="T9" s="311"/>
      <c r="U9" s="311"/>
      <c r="V9" s="311"/>
      <c r="W9" s="224"/>
      <c r="X9" s="311"/>
      <c r="Y9" s="311"/>
      <c r="Z9" s="311"/>
      <c r="AA9" s="311"/>
      <c r="AB9" s="311"/>
      <c r="AC9" s="318"/>
      <c r="AD9" s="224"/>
      <c r="AE9" s="311"/>
      <c r="AF9" s="311"/>
      <c r="AG9" s="311"/>
      <c r="AH9" s="311"/>
      <c r="AI9" s="311"/>
      <c r="AJ9" s="311"/>
      <c r="AK9" s="242"/>
      <c r="AL9" s="243"/>
      <c r="AM9" s="244"/>
      <c r="AN9" s="245"/>
      <c r="AO9" s="56"/>
      <c r="AP9" s="56"/>
    </row>
    <row r="10" spans="1:42" s="46" customFormat="1" ht="20.100000000000001" customHeight="1">
      <c r="A10" s="246" t="s">
        <v>74</v>
      </c>
      <c r="B10" s="316" t="s">
        <v>3</v>
      </c>
      <c r="C10" s="312"/>
      <c r="D10" s="313"/>
      <c r="E10" s="313"/>
      <c r="F10" s="313"/>
      <c r="G10" s="313"/>
      <c r="H10" s="313"/>
      <c r="I10" s="250"/>
      <c r="J10" s="312"/>
      <c r="K10" s="313"/>
      <c r="L10" s="313"/>
      <c r="M10" s="313"/>
      <c r="N10" s="313"/>
      <c r="O10" s="313"/>
      <c r="P10" s="250"/>
      <c r="Q10" s="312"/>
      <c r="R10" s="313"/>
      <c r="S10" s="313"/>
      <c r="T10" s="313"/>
      <c r="U10" s="313"/>
      <c r="V10" s="313"/>
      <c r="W10" s="250"/>
      <c r="X10" s="312"/>
      <c r="Y10" s="313"/>
      <c r="Z10" s="313"/>
      <c r="AA10" s="313"/>
      <c r="AB10" s="313"/>
      <c r="AC10" s="313"/>
      <c r="AD10" s="250"/>
      <c r="AE10" s="312"/>
      <c r="AF10" s="313"/>
      <c r="AG10" s="313"/>
      <c r="AH10" s="313"/>
      <c r="AI10" s="313"/>
      <c r="AJ10" s="313"/>
      <c r="AK10" s="250"/>
      <c r="AL10" s="248" t="s">
        <v>88</v>
      </c>
      <c r="AM10" s="251" t="s">
        <v>28</v>
      </c>
      <c r="AN10" s="252" t="s">
        <v>23</v>
      </c>
      <c r="AO10"/>
      <c r="AP10"/>
    </row>
    <row r="11" spans="1:42" s="46" customFormat="1" ht="20.100000000000001" customHeight="1">
      <c r="A11" s="253" t="s">
        <v>155</v>
      </c>
      <c r="B11" s="317" t="s">
        <v>193</v>
      </c>
      <c r="C11" s="314">
        <v>1</v>
      </c>
      <c r="D11" s="315">
        <v>1</v>
      </c>
      <c r="E11" s="315"/>
      <c r="F11" s="315">
        <v>1</v>
      </c>
      <c r="G11" s="315">
        <v>1</v>
      </c>
      <c r="H11" s="315"/>
      <c r="I11" s="254">
        <f>C11*C$6+D11*D$6+E$6*E11+F11*F$6+G11*G$6+H11*H$6</f>
        <v>4.6666666666666679</v>
      </c>
      <c r="J11" s="314"/>
      <c r="K11" s="315"/>
      <c r="L11" s="315"/>
      <c r="M11" s="315"/>
      <c r="N11" s="315"/>
      <c r="O11" s="315"/>
      <c r="P11" s="254">
        <f>J11*J$6+K11*K$6+L$6*L11+M11*M$6+N11*N$6+O11*O$6</f>
        <v>0</v>
      </c>
      <c r="Q11" s="314"/>
      <c r="R11" s="315"/>
      <c r="S11" s="315"/>
      <c r="T11" s="315"/>
      <c r="U11" s="315"/>
      <c r="V11" s="315"/>
      <c r="W11" s="254">
        <f>Q11*Q$6+R11*R$6+S$6*S11+T11*T$6+U11*U$6+V11*V$6</f>
        <v>0</v>
      </c>
      <c r="X11" s="314">
        <v>1</v>
      </c>
      <c r="Y11" s="315">
        <v>1</v>
      </c>
      <c r="Z11" s="315"/>
      <c r="AA11" s="315">
        <v>1</v>
      </c>
      <c r="AB11" s="315">
        <v>1</v>
      </c>
      <c r="AC11" s="315">
        <v>1</v>
      </c>
      <c r="AD11" s="254">
        <f>X11*X$6+Y11*Y$6+Z$6*Z11+AA11*AA$6+AB11*AB$6+AC11*AC$6</f>
        <v>5.666666666666667</v>
      </c>
      <c r="AE11" s="314"/>
      <c r="AF11" s="315"/>
      <c r="AG11" s="315"/>
      <c r="AH11" s="315"/>
      <c r="AI11" s="315"/>
      <c r="AJ11" s="315"/>
      <c r="AK11" s="254">
        <f>AE11*AE$6+AF11*AF$6+AG$6*AG11+AH11*AH$6+AI11*AI$6+AJ11*AJ$6</f>
        <v>0</v>
      </c>
      <c r="AL11" s="255">
        <f>IF(B11="N",0,IF(B11="f",AN11,"Bitte Qualifikation in der Spalte B eintragen"))</f>
        <v>10.333333333333336</v>
      </c>
      <c r="AM11" s="256">
        <f>IF(B11="f",0,IF(B11="N",AN11,"Bitte Qualifikation in der Spalte B eintragen"))</f>
        <v>0</v>
      </c>
      <c r="AN11" s="257">
        <f>I11+P11+W11+AD11+AK11</f>
        <v>10.333333333333336</v>
      </c>
      <c r="AO11"/>
      <c r="AP11"/>
    </row>
    <row r="12" spans="1:42" s="46" customFormat="1" ht="20.100000000000001" customHeight="1">
      <c r="A12" s="253" t="s">
        <v>75</v>
      </c>
      <c r="B12" s="317" t="s">
        <v>193</v>
      </c>
      <c r="C12" s="314"/>
      <c r="D12" s="315"/>
      <c r="E12" s="315"/>
      <c r="F12" s="315">
        <v>1</v>
      </c>
      <c r="G12" s="315"/>
      <c r="H12" s="315"/>
      <c r="I12" s="254">
        <f>C12*C$6+D12*D$6+E$6*E12+F12*F$6+G12*G$6+H12*H$6</f>
        <v>0.99999999999999911</v>
      </c>
      <c r="J12" s="314"/>
      <c r="K12" s="315"/>
      <c r="L12" s="315"/>
      <c r="M12" s="315"/>
      <c r="N12" s="315"/>
      <c r="O12" s="315"/>
      <c r="P12" s="254">
        <f>J12*J$6+K12*K$6+L$6*L12+M12*M$6+N12*N$6+O12*O$6</f>
        <v>0</v>
      </c>
      <c r="Q12" s="314"/>
      <c r="R12" s="315"/>
      <c r="S12" s="315"/>
      <c r="T12" s="315"/>
      <c r="U12" s="315"/>
      <c r="V12" s="315"/>
      <c r="W12" s="254">
        <f>Q12*Q$6+R12*R$6+S$6*S12+T12*T$6+U12*U$6+V12*V$6</f>
        <v>0</v>
      </c>
      <c r="X12" s="314"/>
      <c r="Y12" s="315"/>
      <c r="Z12" s="315"/>
      <c r="AA12" s="315"/>
      <c r="AB12" s="315"/>
      <c r="AC12" s="315"/>
      <c r="AD12" s="254">
        <f>X12*X$6+Y12*Y$6+Z$6*Z12+AA12*AA$6+AB12*AB$6+AC12*AC$6</f>
        <v>0</v>
      </c>
      <c r="AE12" s="314"/>
      <c r="AF12" s="315"/>
      <c r="AG12" s="315"/>
      <c r="AH12" s="315"/>
      <c r="AI12" s="315"/>
      <c r="AJ12" s="315"/>
      <c r="AK12" s="254">
        <f>AE12*AE$6+AF12*AF$6+AG$6*AG12+AH12*AH$6+AI12*AI$6+AJ12*AJ$6</f>
        <v>0</v>
      </c>
      <c r="AL12" s="255">
        <f t="shared" ref="AL12:AL21" si="9">IF(B12="N",0,IF(B12="f",AN12,"Bitte Qualifikation in der Spalte B eintragen"))</f>
        <v>0.99999999999999911</v>
      </c>
      <c r="AM12" s="256">
        <f t="shared" ref="AM12:AM21" si="10">IF(B12="f",0,IF(B12="N",AN12,"Bitte Qualifikation in der Spalte B eintragen"))</f>
        <v>0</v>
      </c>
      <c r="AN12" s="257">
        <f>I12+P12+W12+AD12+AK12</f>
        <v>0.99999999999999911</v>
      </c>
      <c r="AO12"/>
      <c r="AP12"/>
    </row>
    <row r="13" spans="1:42" s="46" customFormat="1" ht="20.100000000000001" customHeight="1">
      <c r="A13" s="253" t="s">
        <v>76</v>
      </c>
      <c r="B13" s="317" t="s">
        <v>193</v>
      </c>
      <c r="C13" s="314"/>
      <c r="D13" s="315"/>
      <c r="E13" s="315"/>
      <c r="F13" s="315"/>
      <c r="G13" s="315"/>
      <c r="H13" s="315"/>
      <c r="I13" s="254">
        <f>C13*C$6+D13*D$6+E$6*E13+F13*F$6+G13*G$6+H13*H$6</f>
        <v>0</v>
      </c>
      <c r="J13" s="314"/>
      <c r="K13" s="315"/>
      <c r="L13" s="315"/>
      <c r="M13" s="315"/>
      <c r="N13" s="315"/>
      <c r="O13" s="315"/>
      <c r="P13" s="254">
        <f>J13*J$6+K13*K$6+L$6*L13+M13*M$6+N13*N$6+O13*O$6</f>
        <v>0</v>
      </c>
      <c r="Q13" s="314"/>
      <c r="R13" s="315"/>
      <c r="S13" s="315"/>
      <c r="T13" s="315"/>
      <c r="U13" s="315"/>
      <c r="V13" s="315"/>
      <c r="W13" s="254">
        <f>Q13*Q$6+R13*R$6+S$6*S13+T13*T$6+U13*U$6+V13*V$6</f>
        <v>0</v>
      </c>
      <c r="X13" s="314"/>
      <c r="Y13" s="315">
        <v>1</v>
      </c>
      <c r="Z13" s="315">
        <v>1</v>
      </c>
      <c r="AA13" s="315"/>
      <c r="AB13" s="315"/>
      <c r="AC13" s="315"/>
      <c r="AD13" s="254">
        <f>X13*X$6+Y13*Y$6+Z$6*Z13+AA13*AA$6+AB13*AB$6+AC13*AC$6</f>
        <v>3.3333333333333335</v>
      </c>
      <c r="AE13" s="314"/>
      <c r="AF13" s="315"/>
      <c r="AG13" s="315"/>
      <c r="AH13" s="315"/>
      <c r="AI13" s="315"/>
      <c r="AJ13" s="315"/>
      <c r="AK13" s="254">
        <f>AE13*AE$6+AF13*AF$6+AG$6*AG13+AH13*AH$6+AI13*AI$6+AJ13*AJ$6</f>
        <v>0</v>
      </c>
      <c r="AL13" s="255">
        <f t="shared" si="9"/>
        <v>3.3333333333333335</v>
      </c>
      <c r="AM13" s="256">
        <f t="shared" si="10"/>
        <v>0</v>
      </c>
      <c r="AN13" s="257">
        <f>I13+P13+W13+AD13+AK13</f>
        <v>3.3333333333333335</v>
      </c>
      <c r="AO13"/>
      <c r="AP13"/>
    </row>
    <row r="14" spans="1:42" s="46" customFormat="1" ht="20.100000000000001" customHeight="1">
      <c r="A14" s="253" t="s">
        <v>151</v>
      </c>
      <c r="B14" s="317" t="s">
        <v>193</v>
      </c>
      <c r="C14" s="314"/>
      <c r="D14" s="315"/>
      <c r="E14" s="315"/>
      <c r="F14" s="315"/>
      <c r="G14" s="315"/>
      <c r="H14" s="315"/>
      <c r="I14" s="254">
        <f t="shared" ref="I14:I21" si="11">C14*C$6+D14*D$6+E$6*E14+F14*F$6+G14*G$6+H14*H$6</f>
        <v>0</v>
      </c>
      <c r="J14" s="314"/>
      <c r="K14" s="315"/>
      <c r="L14" s="315"/>
      <c r="M14" s="315"/>
      <c r="N14" s="315"/>
      <c r="O14" s="315"/>
      <c r="P14" s="254">
        <f t="shared" ref="P14:P21" si="12">J14*J$6+K14*K$6+L$6*L14+M14*M$6+N14*N$6+O14*O$6</f>
        <v>0</v>
      </c>
      <c r="Q14" s="314"/>
      <c r="R14" s="315"/>
      <c r="S14" s="315"/>
      <c r="T14" s="315"/>
      <c r="U14" s="315"/>
      <c r="V14" s="315"/>
      <c r="W14" s="254">
        <f t="shared" ref="W14:W21" si="13">Q14*Q$6+R14*R$6+S$6*S14+T14*T$6+U14*U$6+V14*V$6</f>
        <v>0</v>
      </c>
      <c r="X14" s="314"/>
      <c r="Y14" s="315"/>
      <c r="Z14" s="315"/>
      <c r="AA14" s="315"/>
      <c r="AB14" s="315"/>
      <c r="AC14" s="315"/>
      <c r="AD14" s="254">
        <f t="shared" ref="AD14:AD21" si="14">X14*X$6+Y14*Y$6+Z$6*Z14+AA14*AA$6+AB14*AB$6+AC14*AC$6</f>
        <v>0</v>
      </c>
      <c r="AE14" s="314"/>
      <c r="AF14" s="315"/>
      <c r="AG14" s="315"/>
      <c r="AH14" s="315"/>
      <c r="AI14" s="315"/>
      <c r="AJ14" s="315"/>
      <c r="AK14" s="254">
        <f t="shared" ref="AK14:AK21" si="15">AE14*AE$6+AF14*AF$6+AG$6*AG14+AH14*AH$6+AI14*AI$6+AJ14*AJ$6</f>
        <v>0</v>
      </c>
      <c r="AL14" s="255">
        <f t="shared" si="9"/>
        <v>0</v>
      </c>
      <c r="AM14" s="256">
        <f t="shared" si="10"/>
        <v>0</v>
      </c>
      <c r="AN14" s="257">
        <f t="shared" ref="AN14:AN21" si="16">I14+P14+W14+AD14+AK14</f>
        <v>0</v>
      </c>
      <c r="AO14"/>
      <c r="AP14"/>
    </row>
    <row r="15" spans="1:42" s="46" customFormat="1" ht="20.100000000000001" customHeight="1">
      <c r="A15" s="253" t="s">
        <v>77</v>
      </c>
      <c r="B15" s="317" t="s">
        <v>193</v>
      </c>
      <c r="C15" s="314"/>
      <c r="D15" s="315"/>
      <c r="E15" s="315"/>
      <c r="F15" s="315"/>
      <c r="G15" s="315"/>
      <c r="H15" s="315"/>
      <c r="I15" s="254">
        <f t="shared" si="11"/>
        <v>0</v>
      </c>
      <c r="J15" s="314"/>
      <c r="K15" s="315"/>
      <c r="L15" s="315"/>
      <c r="M15" s="315"/>
      <c r="N15" s="315"/>
      <c r="O15" s="315"/>
      <c r="P15" s="254">
        <f t="shared" si="12"/>
        <v>0</v>
      </c>
      <c r="Q15" s="314"/>
      <c r="R15" s="315"/>
      <c r="S15" s="315"/>
      <c r="T15" s="315"/>
      <c r="U15" s="315"/>
      <c r="V15" s="315"/>
      <c r="W15" s="254">
        <f t="shared" si="13"/>
        <v>0</v>
      </c>
      <c r="X15" s="314"/>
      <c r="Y15" s="315"/>
      <c r="Z15" s="315"/>
      <c r="AA15" s="315"/>
      <c r="AB15" s="315"/>
      <c r="AC15" s="315"/>
      <c r="AD15" s="254">
        <f t="shared" si="14"/>
        <v>0</v>
      </c>
      <c r="AE15" s="314"/>
      <c r="AF15" s="315"/>
      <c r="AG15" s="315"/>
      <c r="AH15" s="315"/>
      <c r="AI15" s="315"/>
      <c r="AJ15" s="315"/>
      <c r="AK15" s="254">
        <f t="shared" si="15"/>
        <v>0</v>
      </c>
      <c r="AL15" s="255">
        <f t="shared" si="9"/>
        <v>0</v>
      </c>
      <c r="AM15" s="256">
        <f t="shared" si="10"/>
        <v>0</v>
      </c>
      <c r="AN15" s="257">
        <f t="shared" si="16"/>
        <v>0</v>
      </c>
      <c r="AO15"/>
      <c r="AP15"/>
    </row>
    <row r="16" spans="1:42" s="46" customFormat="1" ht="20.100000000000001" customHeight="1">
      <c r="A16" s="253" t="s">
        <v>78</v>
      </c>
      <c r="B16" s="317" t="s">
        <v>193</v>
      </c>
      <c r="C16" s="314"/>
      <c r="D16" s="315"/>
      <c r="E16" s="315"/>
      <c r="F16" s="315"/>
      <c r="G16" s="315"/>
      <c r="H16" s="315"/>
      <c r="I16" s="254">
        <f t="shared" si="11"/>
        <v>0</v>
      </c>
      <c r="J16" s="314"/>
      <c r="K16" s="315"/>
      <c r="L16" s="315"/>
      <c r="M16" s="315"/>
      <c r="N16" s="315"/>
      <c r="O16" s="315"/>
      <c r="P16" s="254">
        <f t="shared" si="12"/>
        <v>0</v>
      </c>
      <c r="Q16" s="314"/>
      <c r="R16" s="315"/>
      <c r="S16" s="315"/>
      <c r="T16" s="315"/>
      <c r="U16" s="315"/>
      <c r="V16" s="315"/>
      <c r="W16" s="254">
        <f t="shared" si="13"/>
        <v>0</v>
      </c>
      <c r="X16" s="314"/>
      <c r="Y16" s="315"/>
      <c r="Z16" s="315"/>
      <c r="AA16" s="315"/>
      <c r="AB16" s="315"/>
      <c r="AC16" s="315"/>
      <c r="AD16" s="254">
        <f t="shared" si="14"/>
        <v>0</v>
      </c>
      <c r="AE16" s="314"/>
      <c r="AF16" s="315"/>
      <c r="AG16" s="315"/>
      <c r="AH16" s="315"/>
      <c r="AI16" s="315"/>
      <c r="AJ16" s="315"/>
      <c r="AK16" s="254">
        <f t="shared" si="15"/>
        <v>0</v>
      </c>
      <c r="AL16" s="255">
        <f t="shared" si="9"/>
        <v>0</v>
      </c>
      <c r="AM16" s="256">
        <f t="shared" si="10"/>
        <v>0</v>
      </c>
      <c r="AN16" s="257">
        <f t="shared" si="16"/>
        <v>0</v>
      </c>
      <c r="AO16"/>
      <c r="AP16"/>
    </row>
    <row r="17" spans="1:43" s="46" customFormat="1" ht="20.100000000000001" customHeight="1">
      <c r="A17" s="253" t="s">
        <v>79</v>
      </c>
      <c r="B17" s="317" t="s">
        <v>2</v>
      </c>
      <c r="C17" s="314"/>
      <c r="D17" s="315">
        <v>1</v>
      </c>
      <c r="E17" s="315"/>
      <c r="F17" s="315">
        <v>1</v>
      </c>
      <c r="G17" s="315"/>
      <c r="H17" s="315"/>
      <c r="I17" s="254">
        <f t="shared" si="11"/>
        <v>2.7499999999999996</v>
      </c>
      <c r="J17" s="314"/>
      <c r="K17" s="315"/>
      <c r="L17" s="315"/>
      <c r="M17" s="315"/>
      <c r="N17" s="315"/>
      <c r="O17" s="315"/>
      <c r="P17" s="254">
        <f t="shared" si="12"/>
        <v>0</v>
      </c>
      <c r="Q17" s="314"/>
      <c r="R17" s="315"/>
      <c r="S17" s="315"/>
      <c r="T17" s="315"/>
      <c r="U17" s="315"/>
      <c r="V17" s="315"/>
      <c r="W17" s="254">
        <f t="shared" si="13"/>
        <v>0</v>
      </c>
      <c r="X17" s="314"/>
      <c r="Y17" s="315"/>
      <c r="Z17" s="315"/>
      <c r="AA17" s="315"/>
      <c r="AB17" s="315"/>
      <c r="AC17" s="315"/>
      <c r="AD17" s="254">
        <f t="shared" si="14"/>
        <v>0</v>
      </c>
      <c r="AE17" s="314"/>
      <c r="AF17" s="315"/>
      <c r="AG17" s="315"/>
      <c r="AH17" s="315"/>
      <c r="AI17" s="315"/>
      <c r="AJ17" s="315"/>
      <c r="AK17" s="254">
        <f t="shared" si="15"/>
        <v>0</v>
      </c>
      <c r="AL17" s="255">
        <f t="shared" si="9"/>
        <v>0</v>
      </c>
      <c r="AM17" s="256">
        <f t="shared" si="10"/>
        <v>2.7499999999999996</v>
      </c>
      <c r="AN17" s="257">
        <f t="shared" si="16"/>
        <v>2.7499999999999996</v>
      </c>
      <c r="AO17"/>
      <c r="AP17"/>
    </row>
    <row r="18" spans="1:43" s="46" customFormat="1" ht="20.100000000000001" customHeight="1">
      <c r="A18" s="253" t="s">
        <v>80</v>
      </c>
      <c r="B18" s="317" t="s">
        <v>2</v>
      </c>
      <c r="C18" s="314"/>
      <c r="D18" s="315"/>
      <c r="E18" s="315"/>
      <c r="F18" s="315"/>
      <c r="G18" s="315"/>
      <c r="H18" s="315">
        <v>1</v>
      </c>
      <c r="I18" s="254">
        <f t="shared" si="11"/>
        <v>0.99999999999999911</v>
      </c>
      <c r="J18" s="314"/>
      <c r="K18" s="315"/>
      <c r="L18" s="315"/>
      <c r="M18" s="315"/>
      <c r="N18" s="315"/>
      <c r="O18" s="315"/>
      <c r="P18" s="254">
        <f t="shared" si="12"/>
        <v>0</v>
      </c>
      <c r="Q18" s="314"/>
      <c r="R18" s="315"/>
      <c r="S18" s="315"/>
      <c r="T18" s="315"/>
      <c r="U18" s="315"/>
      <c r="V18" s="315"/>
      <c r="W18" s="254">
        <f t="shared" si="13"/>
        <v>0</v>
      </c>
      <c r="X18" s="314"/>
      <c r="Y18" s="315">
        <v>1</v>
      </c>
      <c r="Z18" s="315"/>
      <c r="AA18" s="315"/>
      <c r="AB18" s="315"/>
      <c r="AC18" s="315"/>
      <c r="AD18" s="254">
        <f t="shared" si="14"/>
        <v>1.7500000000000004</v>
      </c>
      <c r="AE18" s="314"/>
      <c r="AF18" s="315"/>
      <c r="AG18" s="315"/>
      <c r="AH18" s="315"/>
      <c r="AI18" s="315"/>
      <c r="AJ18" s="315"/>
      <c r="AK18" s="254">
        <f t="shared" si="15"/>
        <v>0</v>
      </c>
      <c r="AL18" s="255">
        <f t="shared" si="9"/>
        <v>0</v>
      </c>
      <c r="AM18" s="256">
        <f t="shared" si="10"/>
        <v>2.7499999999999996</v>
      </c>
      <c r="AN18" s="257">
        <f t="shared" si="16"/>
        <v>2.7499999999999996</v>
      </c>
      <c r="AO18"/>
      <c r="AP18"/>
    </row>
    <row r="19" spans="1:43" s="46" customFormat="1" ht="20.100000000000001" customHeight="1">
      <c r="A19" s="253" t="s">
        <v>81</v>
      </c>
      <c r="B19" s="317" t="s">
        <v>2</v>
      </c>
      <c r="C19" s="314"/>
      <c r="D19" s="315"/>
      <c r="E19" s="315"/>
      <c r="F19" s="315"/>
      <c r="G19" s="315">
        <v>1</v>
      </c>
      <c r="H19" s="315"/>
      <c r="I19" s="254">
        <f t="shared" si="11"/>
        <v>0.91666666666666874</v>
      </c>
      <c r="J19" s="314"/>
      <c r="K19" s="315"/>
      <c r="L19" s="315"/>
      <c r="M19" s="315"/>
      <c r="N19" s="315"/>
      <c r="O19" s="315"/>
      <c r="P19" s="254">
        <f t="shared" si="12"/>
        <v>0</v>
      </c>
      <c r="Q19" s="314"/>
      <c r="R19" s="315"/>
      <c r="S19" s="315"/>
      <c r="T19" s="315"/>
      <c r="U19" s="315"/>
      <c r="V19" s="315"/>
      <c r="W19" s="254">
        <f t="shared" si="13"/>
        <v>0</v>
      </c>
      <c r="X19" s="314"/>
      <c r="Y19" s="315"/>
      <c r="Z19" s="315"/>
      <c r="AA19" s="315"/>
      <c r="AB19" s="315">
        <v>1</v>
      </c>
      <c r="AC19" s="315"/>
      <c r="AD19" s="254">
        <f t="shared" si="14"/>
        <v>0.91666666666666874</v>
      </c>
      <c r="AE19" s="314"/>
      <c r="AF19" s="315"/>
      <c r="AG19" s="315"/>
      <c r="AH19" s="315"/>
      <c r="AI19" s="315"/>
      <c r="AJ19" s="315"/>
      <c r="AK19" s="254">
        <f t="shared" si="15"/>
        <v>0</v>
      </c>
      <c r="AL19" s="255">
        <f t="shared" si="9"/>
        <v>0</v>
      </c>
      <c r="AM19" s="256">
        <f t="shared" si="10"/>
        <v>1.8333333333333375</v>
      </c>
      <c r="AN19" s="257">
        <f t="shared" si="16"/>
        <v>1.8333333333333375</v>
      </c>
      <c r="AO19"/>
      <c r="AP19"/>
    </row>
    <row r="20" spans="1:43" s="46" customFormat="1" ht="20.100000000000001" customHeight="1">
      <c r="A20" s="253" t="s">
        <v>82</v>
      </c>
      <c r="B20" s="317" t="s">
        <v>2</v>
      </c>
      <c r="C20" s="314"/>
      <c r="D20" s="315"/>
      <c r="E20" s="315"/>
      <c r="F20" s="315"/>
      <c r="G20" s="315"/>
      <c r="H20" s="315"/>
      <c r="I20" s="254">
        <f t="shared" si="11"/>
        <v>0</v>
      </c>
      <c r="J20" s="314"/>
      <c r="K20" s="315"/>
      <c r="L20" s="315"/>
      <c r="M20" s="315"/>
      <c r="N20" s="315"/>
      <c r="O20" s="315"/>
      <c r="P20" s="254">
        <f t="shared" si="12"/>
        <v>0</v>
      </c>
      <c r="Q20" s="314"/>
      <c r="R20" s="315"/>
      <c r="S20" s="315"/>
      <c r="T20" s="315"/>
      <c r="U20" s="315"/>
      <c r="V20" s="315"/>
      <c r="W20" s="254">
        <f t="shared" si="13"/>
        <v>0</v>
      </c>
      <c r="X20" s="314"/>
      <c r="Y20" s="315"/>
      <c r="Z20" s="315"/>
      <c r="AA20" s="315"/>
      <c r="AB20" s="315"/>
      <c r="AC20" s="315"/>
      <c r="AD20" s="254">
        <f t="shared" si="14"/>
        <v>0</v>
      </c>
      <c r="AE20" s="314"/>
      <c r="AF20" s="315"/>
      <c r="AG20" s="315"/>
      <c r="AH20" s="315"/>
      <c r="AI20" s="315"/>
      <c r="AJ20" s="315"/>
      <c r="AK20" s="254">
        <f t="shared" si="15"/>
        <v>0</v>
      </c>
      <c r="AL20" s="255">
        <f t="shared" si="9"/>
        <v>0</v>
      </c>
      <c r="AM20" s="256">
        <f t="shared" si="10"/>
        <v>0</v>
      </c>
      <c r="AN20" s="257">
        <f t="shared" si="16"/>
        <v>0</v>
      </c>
      <c r="AO20"/>
      <c r="AP20"/>
    </row>
    <row r="21" spans="1:43" s="46" customFormat="1" ht="20.100000000000001" customHeight="1">
      <c r="A21" s="253" t="s">
        <v>83</v>
      </c>
      <c r="B21" s="317" t="s">
        <v>2</v>
      </c>
      <c r="C21" s="314"/>
      <c r="D21" s="315"/>
      <c r="E21" s="315"/>
      <c r="F21" s="315"/>
      <c r="G21" s="315">
        <v>1</v>
      </c>
      <c r="H21" s="315"/>
      <c r="I21" s="254">
        <f t="shared" si="11"/>
        <v>0.91666666666666874</v>
      </c>
      <c r="J21" s="314"/>
      <c r="K21" s="315"/>
      <c r="L21" s="315"/>
      <c r="M21" s="315"/>
      <c r="N21" s="315"/>
      <c r="O21" s="315"/>
      <c r="P21" s="254">
        <f t="shared" si="12"/>
        <v>0</v>
      </c>
      <c r="Q21" s="314"/>
      <c r="R21" s="315"/>
      <c r="S21" s="315"/>
      <c r="T21" s="315"/>
      <c r="U21" s="315"/>
      <c r="V21" s="315"/>
      <c r="W21" s="254">
        <f t="shared" si="13"/>
        <v>0</v>
      </c>
      <c r="X21" s="314"/>
      <c r="Y21" s="315"/>
      <c r="Z21" s="315"/>
      <c r="AA21" s="315"/>
      <c r="AB21" s="315">
        <v>1</v>
      </c>
      <c r="AC21" s="315"/>
      <c r="AD21" s="254">
        <f t="shared" si="14"/>
        <v>0.91666666666666874</v>
      </c>
      <c r="AE21" s="314"/>
      <c r="AF21" s="315"/>
      <c r="AG21" s="315"/>
      <c r="AH21" s="315"/>
      <c r="AI21" s="315"/>
      <c r="AJ21" s="315"/>
      <c r="AK21" s="254">
        <f t="shared" si="15"/>
        <v>0</v>
      </c>
      <c r="AL21" s="255">
        <f t="shared" si="9"/>
        <v>0</v>
      </c>
      <c r="AM21" s="256">
        <f t="shared" si="10"/>
        <v>1.8333333333333375</v>
      </c>
      <c r="AN21" s="257">
        <f t="shared" si="16"/>
        <v>1.8333333333333375</v>
      </c>
      <c r="AO21"/>
      <c r="AP21"/>
    </row>
    <row r="22" spans="1:43" s="127" customFormat="1" ht="20.100000000000001" customHeight="1">
      <c r="A22" s="258"/>
      <c r="B22" s="259"/>
      <c r="C22" s="260"/>
      <c r="D22" s="261"/>
      <c r="E22" s="261"/>
      <c r="F22" s="261"/>
      <c r="G22" s="261"/>
      <c r="H22" s="261"/>
      <c r="I22" s="262"/>
      <c r="J22" s="260"/>
      <c r="K22" s="261"/>
      <c r="L22" s="261"/>
      <c r="M22" s="261"/>
      <c r="N22" s="261"/>
      <c r="O22" s="261"/>
      <c r="P22" s="262"/>
      <c r="Q22" s="260"/>
      <c r="R22" s="261"/>
      <c r="S22" s="261"/>
      <c r="T22" s="261"/>
      <c r="U22" s="261"/>
      <c r="V22" s="261"/>
      <c r="W22" s="262"/>
      <c r="X22" s="260"/>
      <c r="Y22" s="261"/>
      <c r="Z22" s="261"/>
      <c r="AA22" s="261"/>
      <c r="AB22" s="261"/>
      <c r="AC22" s="261"/>
      <c r="AD22" s="262"/>
      <c r="AE22" s="321"/>
      <c r="AF22" s="322"/>
      <c r="AG22" s="322"/>
      <c r="AH22" s="322"/>
      <c r="AI22" s="322"/>
      <c r="AJ22" s="322"/>
      <c r="AK22" s="262"/>
      <c r="AL22" s="263"/>
      <c r="AM22" s="264"/>
      <c r="AN22" s="265"/>
      <c r="AO22" s="124"/>
      <c r="AP22" s="124"/>
    </row>
    <row r="23" spans="1:43" s="57" customFormat="1" ht="21" customHeight="1">
      <c r="A23" s="246" t="s">
        <v>70</v>
      </c>
      <c r="B23" s="247"/>
      <c r="C23" s="266"/>
      <c r="D23" s="267"/>
      <c r="E23" s="267"/>
      <c r="F23" s="267"/>
      <c r="G23" s="267"/>
      <c r="H23" s="267"/>
      <c r="I23" s="268"/>
      <c r="J23" s="266"/>
      <c r="K23" s="267"/>
      <c r="L23" s="267"/>
      <c r="M23" s="267"/>
      <c r="N23" s="267"/>
      <c r="O23" s="267"/>
      <c r="P23" s="268"/>
      <c r="Q23" s="266"/>
      <c r="R23" s="267"/>
      <c r="S23" s="267"/>
      <c r="T23" s="267"/>
      <c r="U23" s="267"/>
      <c r="V23" s="267"/>
      <c r="W23" s="268"/>
      <c r="X23" s="266"/>
      <c r="Y23" s="267"/>
      <c r="Z23" s="267"/>
      <c r="AA23" s="267"/>
      <c r="AB23" s="267"/>
      <c r="AC23" s="267"/>
      <c r="AD23" s="268"/>
      <c r="AE23" s="266"/>
      <c r="AF23" s="267"/>
      <c r="AG23" s="267"/>
      <c r="AH23" s="267"/>
      <c r="AI23" s="267"/>
      <c r="AJ23" s="267"/>
      <c r="AK23" s="268"/>
      <c r="AL23" s="266"/>
      <c r="AM23" s="267"/>
      <c r="AN23" s="269"/>
      <c r="AO23" s="56"/>
      <c r="AP23" s="56"/>
    </row>
    <row r="24" spans="1:43" s="29" customFormat="1" ht="24.95" customHeight="1">
      <c r="A24" s="270" t="s">
        <v>71</v>
      </c>
      <c r="B24" s="271"/>
      <c r="C24" s="272"/>
      <c r="D24" s="273"/>
      <c r="E24" s="273"/>
      <c r="F24" s="273"/>
      <c r="G24" s="273"/>
      <c r="H24" s="273"/>
      <c r="I24" s="254">
        <f>SUM(I11:I21)</f>
        <v>11.25</v>
      </c>
      <c r="J24" s="272"/>
      <c r="K24" s="273"/>
      <c r="L24" s="273"/>
      <c r="M24" s="273"/>
      <c r="N24" s="273"/>
      <c r="O24" s="273"/>
      <c r="P24" s="254">
        <f>SUM(P11:P21)</f>
        <v>0</v>
      </c>
      <c r="Q24" s="272"/>
      <c r="R24" s="273"/>
      <c r="S24" s="273"/>
      <c r="T24" s="273"/>
      <c r="U24" s="273"/>
      <c r="V24" s="273"/>
      <c r="W24" s="254">
        <f>SUM(W11:W21)</f>
        <v>0</v>
      </c>
      <c r="X24" s="272"/>
      <c r="Y24" s="273"/>
      <c r="Z24" s="273"/>
      <c r="AA24" s="273"/>
      <c r="AB24" s="273"/>
      <c r="AC24" s="273"/>
      <c r="AD24" s="254">
        <f>SUM(AD11:AD21)</f>
        <v>12.583333333333336</v>
      </c>
      <c r="AE24" s="272"/>
      <c r="AF24" s="273"/>
      <c r="AG24" s="273"/>
      <c r="AH24" s="273"/>
      <c r="AI24" s="273"/>
      <c r="AJ24" s="273"/>
      <c r="AK24" s="254">
        <f>SUM(AK11:AK21)</f>
        <v>0</v>
      </c>
      <c r="AL24" s="255">
        <f>SUM(AL11:AL21)</f>
        <v>14.66666666666667</v>
      </c>
      <c r="AM24" s="256">
        <f>SUM(AM11:AM21)</f>
        <v>9.166666666666675</v>
      </c>
      <c r="AN24" s="257">
        <f>SUM(AN11:AN21)</f>
        <v>23.833333333333343</v>
      </c>
      <c r="AO24"/>
      <c r="AP24"/>
      <c r="AQ24" s="52"/>
    </row>
    <row r="25" spans="1:43" s="54" customFormat="1" ht="24.95" customHeight="1">
      <c r="A25" s="270" t="s">
        <v>152</v>
      </c>
      <c r="B25" s="274"/>
      <c r="C25" s="275"/>
      <c r="D25" s="276"/>
      <c r="E25" s="276"/>
      <c r="F25" s="276"/>
      <c r="G25" s="276"/>
      <c r="H25" s="276"/>
      <c r="I25" s="277"/>
      <c r="J25" s="278"/>
      <c r="K25" s="279"/>
      <c r="L25" s="279"/>
      <c r="M25" s="279"/>
      <c r="N25" s="279"/>
      <c r="O25" s="279"/>
      <c r="P25" s="277"/>
      <c r="Q25" s="278"/>
      <c r="R25" s="279"/>
      <c r="S25" s="279"/>
      <c r="T25" s="279"/>
      <c r="U25" s="279"/>
      <c r="V25" s="279"/>
      <c r="W25" s="277"/>
      <c r="X25" s="278"/>
      <c r="Y25" s="279"/>
      <c r="Z25" s="279"/>
      <c r="AA25" s="279"/>
      <c r="AB25" s="279"/>
      <c r="AC25" s="279"/>
      <c r="AD25" s="277"/>
      <c r="AE25" s="278"/>
      <c r="AF25" s="279"/>
      <c r="AG25" s="279"/>
      <c r="AH25" s="279"/>
      <c r="AI25" s="279"/>
      <c r="AJ25" s="279"/>
      <c r="AK25" s="277"/>
      <c r="AL25" s="280"/>
      <c r="AM25" s="281"/>
      <c r="AN25" s="282">
        <f>AL24/AN24</f>
        <v>0.61538461538461531</v>
      </c>
      <c r="AO25"/>
      <c r="AP25"/>
      <c r="AQ25" s="53"/>
    </row>
    <row r="26" spans="1:43" s="29" customFormat="1" ht="21" customHeight="1">
      <c r="A26" s="283" t="s">
        <v>192</v>
      </c>
      <c r="B26" s="271"/>
      <c r="C26" s="284">
        <f t="shared" ref="C26:H26" si="17">IF(C8="","",C7/SUM(C11:C21))</f>
        <v>6</v>
      </c>
      <c r="D26" s="285">
        <f t="shared" si="17"/>
        <v>6</v>
      </c>
      <c r="E26" s="285" t="str">
        <f t="shared" si="17"/>
        <v/>
      </c>
      <c r="F26" s="285">
        <f t="shared" si="17"/>
        <v>4.333333333333333</v>
      </c>
      <c r="G26" s="285">
        <f t="shared" si="17"/>
        <v>3.6666666666666665</v>
      </c>
      <c r="H26" s="286">
        <f t="shared" si="17"/>
        <v>4</v>
      </c>
      <c r="I26" s="255">
        <f>IF(I8=0,"",AVERAGE(C26:H26))</f>
        <v>4.8</v>
      </c>
      <c r="J26" s="284" t="str">
        <f t="shared" ref="J26:O26" si="18">IF(J8="","",J7/SUM(J11:J21))</f>
        <v/>
      </c>
      <c r="K26" s="285" t="str">
        <f t="shared" si="18"/>
        <v/>
      </c>
      <c r="L26" s="285" t="str">
        <f t="shared" si="18"/>
        <v/>
      </c>
      <c r="M26" s="285" t="str">
        <f t="shared" si="18"/>
        <v/>
      </c>
      <c r="N26" s="285" t="str">
        <f t="shared" si="18"/>
        <v/>
      </c>
      <c r="O26" s="286" t="str">
        <f t="shared" si="18"/>
        <v/>
      </c>
      <c r="P26" s="255" t="str">
        <f>IF(P8=0,"",AVERAGE(J26:O26))</f>
        <v/>
      </c>
      <c r="Q26" s="284" t="str">
        <f t="shared" ref="Q26:V26" si="19">IF(Q8="","",Q7/SUM(Q11:Q21))</f>
        <v/>
      </c>
      <c r="R26" s="285" t="str">
        <f t="shared" si="19"/>
        <v/>
      </c>
      <c r="S26" s="285" t="str">
        <f t="shared" si="19"/>
        <v/>
      </c>
      <c r="T26" s="285" t="str">
        <f t="shared" si="19"/>
        <v/>
      </c>
      <c r="U26" s="285" t="str">
        <f t="shared" si="19"/>
        <v/>
      </c>
      <c r="V26" s="286" t="str">
        <f t="shared" si="19"/>
        <v/>
      </c>
      <c r="W26" s="287" t="str">
        <f>IF(W8=0,"",AVERAGE(Q26:V26))</f>
        <v/>
      </c>
      <c r="X26" s="286">
        <f t="shared" ref="X26:AC26" si="20">IF(X8="","",X7/SUM(X11:X21))</f>
        <v>5</v>
      </c>
      <c r="Y26" s="285">
        <f t="shared" si="20"/>
        <v>4</v>
      </c>
      <c r="Z26" s="285">
        <f t="shared" si="20"/>
        <v>7</v>
      </c>
      <c r="AA26" s="285">
        <f t="shared" si="20"/>
        <v>8</v>
      </c>
      <c r="AB26" s="285">
        <f t="shared" si="20"/>
        <v>2.6666666666666665</v>
      </c>
      <c r="AC26" s="286">
        <f t="shared" si="20"/>
        <v>4</v>
      </c>
      <c r="AD26" s="287">
        <f>IF(AD8=0,"",AVERAGE(X26:AC26))</f>
        <v>5.1111111111111116</v>
      </c>
      <c r="AE26" s="286" t="str">
        <f t="shared" ref="AE26:AJ26" si="21">IF(AE8="","",AE7/SUM(AE11:AE21))</f>
        <v/>
      </c>
      <c r="AF26" s="285" t="str">
        <f t="shared" si="21"/>
        <v/>
      </c>
      <c r="AG26" s="285" t="str">
        <f t="shared" si="21"/>
        <v/>
      </c>
      <c r="AH26" s="285" t="str">
        <f t="shared" si="21"/>
        <v/>
      </c>
      <c r="AI26" s="285" t="str">
        <f t="shared" si="21"/>
        <v/>
      </c>
      <c r="AJ26" s="286" t="str">
        <f t="shared" si="21"/>
        <v/>
      </c>
      <c r="AK26" s="288" t="str">
        <f>IF(AK8=0,"",AVERAGE(AE26:AJ26))</f>
        <v/>
      </c>
      <c r="AL26" s="289"/>
      <c r="AM26" s="290"/>
      <c r="AN26" s="291">
        <f>AVERAGE(I26,P26,W26,AD26,AK26)</f>
        <v>4.9555555555555557</v>
      </c>
      <c r="AO26"/>
      <c r="AP26"/>
    </row>
    <row r="27" spans="1:43" s="36" customFormat="1" ht="24.95" customHeight="1">
      <c r="A27" s="292" t="s">
        <v>72</v>
      </c>
      <c r="B27" s="293"/>
      <c r="C27" s="284">
        <f t="shared" ref="C27:H27" si="22">IF(C8="","",C7*C6)</f>
        <v>5.9999999999999947</v>
      </c>
      <c r="D27" s="285">
        <f t="shared" si="22"/>
        <v>21.000000000000007</v>
      </c>
      <c r="E27" s="285" t="str">
        <f t="shared" si="22"/>
        <v/>
      </c>
      <c r="F27" s="285">
        <f t="shared" si="22"/>
        <v>12.999999999999989</v>
      </c>
      <c r="G27" s="285">
        <f t="shared" si="22"/>
        <v>10.083333333333357</v>
      </c>
      <c r="H27" s="286">
        <f t="shared" si="22"/>
        <v>3.9999999999999964</v>
      </c>
      <c r="I27" s="288">
        <f>IF(I8=0,0,SUM(C27:H27))</f>
        <v>54.083333333333343</v>
      </c>
      <c r="J27" s="284" t="str">
        <f t="shared" ref="J27:O27" si="23">IF(J8="","",J7*J6)</f>
        <v/>
      </c>
      <c r="K27" s="285" t="str">
        <f t="shared" si="23"/>
        <v/>
      </c>
      <c r="L27" s="285" t="str">
        <f t="shared" si="23"/>
        <v/>
      </c>
      <c r="M27" s="285" t="str">
        <f t="shared" si="23"/>
        <v/>
      </c>
      <c r="N27" s="285" t="str">
        <f t="shared" si="23"/>
        <v/>
      </c>
      <c r="O27" s="286" t="str">
        <f t="shared" si="23"/>
        <v/>
      </c>
      <c r="P27" s="288">
        <f>IF(P8=0,0,SUM(J27:O27))</f>
        <v>0</v>
      </c>
      <c r="Q27" s="284" t="str">
        <f t="shared" ref="Q27:V27" si="24">IF(Q8="","",Q7*Q6)</f>
        <v/>
      </c>
      <c r="R27" s="285" t="str">
        <f t="shared" si="24"/>
        <v/>
      </c>
      <c r="S27" s="285" t="str">
        <f t="shared" si="24"/>
        <v/>
      </c>
      <c r="T27" s="285" t="str">
        <f t="shared" si="24"/>
        <v/>
      </c>
      <c r="U27" s="285" t="str">
        <f t="shared" si="24"/>
        <v/>
      </c>
      <c r="V27" s="286" t="str">
        <f t="shared" si="24"/>
        <v/>
      </c>
      <c r="W27" s="287">
        <f>IF(W8=0,0,SUM(Q27:V27))</f>
        <v>0</v>
      </c>
      <c r="X27" s="286">
        <f t="shared" ref="X27:AC27" si="25">IF(X8="","",X7*X6)</f>
        <v>4.9999999999999956</v>
      </c>
      <c r="Y27" s="285">
        <f t="shared" si="25"/>
        <v>21.000000000000007</v>
      </c>
      <c r="Z27" s="285">
        <f t="shared" si="25"/>
        <v>11.083333333333332</v>
      </c>
      <c r="AA27" s="285">
        <f t="shared" si="25"/>
        <v>7.9999999999999929</v>
      </c>
      <c r="AB27" s="285">
        <f t="shared" si="25"/>
        <v>7.3333333333333499</v>
      </c>
      <c r="AC27" s="286">
        <f t="shared" si="25"/>
        <v>3.9999999999999964</v>
      </c>
      <c r="AD27" s="287">
        <f>IF(AD8=0,0,SUM(X27:AC27))</f>
        <v>56.416666666666671</v>
      </c>
      <c r="AE27" s="286" t="str">
        <f t="shared" ref="AE27:AJ27" si="26">IF(AE8="","",AE7*AE6)</f>
        <v/>
      </c>
      <c r="AF27" s="285" t="str">
        <f t="shared" si="26"/>
        <v/>
      </c>
      <c r="AG27" s="285" t="str">
        <f t="shared" si="26"/>
        <v/>
      </c>
      <c r="AH27" s="285" t="str">
        <f t="shared" si="26"/>
        <v/>
      </c>
      <c r="AI27" s="285" t="str">
        <f t="shared" si="26"/>
        <v/>
      </c>
      <c r="AJ27" s="286" t="str">
        <f t="shared" si="26"/>
        <v/>
      </c>
      <c r="AK27" s="288">
        <f>IF(AK8=0,0,SUM(AE27:AJ27))</f>
        <v>0</v>
      </c>
      <c r="AL27" s="289"/>
      <c r="AM27" s="290"/>
      <c r="AN27" s="291">
        <f>SUM(I27,P27,W27,AD27,AK27)</f>
        <v>110.50000000000001</v>
      </c>
      <c r="AO27"/>
      <c r="AP27"/>
    </row>
    <row r="28" spans="1:43" s="29" customFormat="1" ht="24.95" customHeight="1">
      <c r="A28" s="294" t="s">
        <v>197</v>
      </c>
      <c r="B28" s="271"/>
      <c r="C28" s="295"/>
      <c r="D28" s="296">
        <f>IF(D8="","",D7)</f>
        <v>12</v>
      </c>
      <c r="E28" s="297"/>
      <c r="F28" s="297"/>
      <c r="G28" s="297"/>
      <c r="H28" s="297"/>
      <c r="I28" s="298"/>
      <c r="J28" s="295"/>
      <c r="K28" s="296" t="str">
        <f>IF(K8="","",K7)</f>
        <v/>
      </c>
      <c r="L28" s="297"/>
      <c r="M28" s="297"/>
      <c r="N28" s="297"/>
      <c r="O28" s="297"/>
      <c r="P28" s="298"/>
      <c r="Q28" s="295"/>
      <c r="R28" s="296" t="str">
        <f>IF(R8="","",R7)</f>
        <v/>
      </c>
      <c r="S28" s="297"/>
      <c r="T28" s="297"/>
      <c r="U28" s="297"/>
      <c r="V28" s="297"/>
      <c r="W28" s="298"/>
      <c r="X28" s="295"/>
      <c r="Y28" s="296">
        <f>IF(Y8="","",Y7)</f>
        <v>12</v>
      </c>
      <c r="Z28" s="297"/>
      <c r="AA28" s="297"/>
      <c r="AB28" s="297"/>
      <c r="AC28" s="297"/>
      <c r="AD28" s="299"/>
      <c r="AE28" s="295"/>
      <c r="AF28" s="296" t="str">
        <f>IF(AF8="","",AF7)</f>
        <v/>
      </c>
      <c r="AG28" s="297"/>
      <c r="AH28" s="297"/>
      <c r="AI28" s="297"/>
      <c r="AJ28" s="297"/>
      <c r="AK28" s="298"/>
      <c r="AL28" s="300"/>
      <c r="AM28" s="301"/>
      <c r="AN28" s="302">
        <f>SUM(C28:AJ28)</f>
        <v>24</v>
      </c>
      <c r="AO28"/>
      <c r="AP28"/>
    </row>
    <row r="29" spans="1:43" s="29" customFormat="1" ht="21" customHeight="1">
      <c r="A29" s="294" t="s">
        <v>73</v>
      </c>
      <c r="B29" s="271"/>
      <c r="C29" s="295"/>
      <c r="D29" s="296">
        <f>IF(D8="","",SUM(D11:D21))</f>
        <v>2</v>
      </c>
      <c r="E29" s="297"/>
      <c r="F29" s="297"/>
      <c r="G29" s="297"/>
      <c r="H29" s="297"/>
      <c r="I29" s="298"/>
      <c r="J29" s="295"/>
      <c r="K29" s="296" t="str">
        <f>IF(K8="","",SUM(K11:K21))</f>
        <v/>
      </c>
      <c r="L29" s="297"/>
      <c r="M29" s="297"/>
      <c r="N29" s="297"/>
      <c r="O29" s="297"/>
      <c r="P29" s="298"/>
      <c r="Q29" s="295"/>
      <c r="R29" s="296" t="str">
        <f>IF(R8="","",SUM(R11:R21))</f>
        <v/>
      </c>
      <c r="S29" s="297"/>
      <c r="T29" s="297"/>
      <c r="U29" s="297"/>
      <c r="V29" s="297"/>
      <c r="W29" s="298"/>
      <c r="X29" s="295"/>
      <c r="Y29" s="296">
        <f>IF(Y8="","",SUM(Y11:Y21))</f>
        <v>3</v>
      </c>
      <c r="Z29" s="297"/>
      <c r="AA29" s="297"/>
      <c r="AB29" s="297"/>
      <c r="AC29" s="297"/>
      <c r="AD29" s="299"/>
      <c r="AE29" s="295"/>
      <c r="AF29" s="296" t="str">
        <f>IF(AF8="","",SUM(AF11:AF21))</f>
        <v/>
      </c>
      <c r="AG29" s="297"/>
      <c r="AH29" s="297"/>
      <c r="AI29" s="297"/>
      <c r="AJ29" s="297"/>
      <c r="AK29" s="298"/>
      <c r="AL29" s="300"/>
      <c r="AM29" s="301"/>
      <c r="AN29" s="302">
        <f>SUM(C29:AJ29)</f>
        <v>5</v>
      </c>
      <c r="AO29"/>
      <c r="AP29"/>
    </row>
    <row r="30" spans="1:43" s="123" customFormat="1" ht="12">
      <c r="A30" s="319"/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124"/>
      <c r="AP30" s="124"/>
    </row>
    <row r="31" spans="1:43" s="123" customFormat="1" ht="12">
      <c r="A31" s="319"/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124"/>
      <c r="AP31" s="124"/>
    </row>
    <row r="32" spans="1:43" s="29" customFormat="1" ht="12">
      <c r="A32" s="320" t="s">
        <v>85</v>
      </c>
      <c r="B32" s="203" t="s">
        <v>86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/>
      <c r="AP32"/>
    </row>
    <row r="33" spans="1:42" s="29" customFormat="1" ht="12">
      <c r="B33" s="29" t="s">
        <v>87</v>
      </c>
      <c r="AO33"/>
      <c r="AP33"/>
    </row>
    <row r="34" spans="1:42" s="29" customFormat="1" ht="12">
      <c r="AG34" s="55"/>
      <c r="AO34"/>
      <c r="AP34"/>
    </row>
    <row r="35" spans="1:42" s="29" customFormat="1" ht="12">
      <c r="AO35"/>
      <c r="AP35"/>
    </row>
    <row r="36" spans="1:42" s="29" customFormat="1">
      <c r="A36" s="24"/>
      <c r="AO36"/>
      <c r="AP36"/>
    </row>
    <row r="37" spans="1:42" s="29" customFormat="1" ht="12">
      <c r="AO37"/>
      <c r="AP37"/>
    </row>
    <row r="38" spans="1:42" s="29" customFormat="1" ht="12">
      <c r="AO38"/>
      <c r="AP38"/>
    </row>
    <row r="39" spans="1:42" s="29" customFormat="1" ht="12">
      <c r="AO39"/>
      <c r="AP39"/>
    </row>
    <row r="40" spans="1:42" s="29" customFormat="1" ht="12">
      <c r="AO40"/>
      <c r="AP40"/>
    </row>
    <row r="41" spans="1:42" s="29" customFormat="1" ht="12">
      <c r="AO41"/>
      <c r="AP41"/>
    </row>
    <row r="42" spans="1:42" s="29" customFormat="1" ht="12">
      <c r="AO42"/>
      <c r="AP42"/>
    </row>
    <row r="43" spans="1:42" s="29" customFormat="1" ht="12">
      <c r="AO43"/>
      <c r="AP43"/>
    </row>
    <row r="44" spans="1:42" s="29" customFormat="1" ht="12">
      <c r="AO44"/>
      <c r="AP44"/>
    </row>
    <row r="45" spans="1:42" s="29" customFormat="1" ht="12">
      <c r="AO45"/>
      <c r="AP45"/>
    </row>
    <row r="46" spans="1:42" s="29" customFormat="1" ht="12">
      <c r="AO46"/>
      <c r="AP46"/>
    </row>
    <row r="47" spans="1:42" s="29" customFormat="1" ht="12">
      <c r="AO47"/>
      <c r="AP47"/>
    </row>
    <row r="48" spans="1:42" s="29" customFormat="1" ht="12">
      <c r="AO48"/>
      <c r="AP48"/>
    </row>
    <row r="49" spans="41:42" s="29" customFormat="1" ht="12">
      <c r="AO49"/>
      <c r="AP49"/>
    </row>
    <row r="50" spans="41:42" s="29" customFormat="1" ht="12">
      <c r="AO50"/>
      <c r="AP50"/>
    </row>
    <row r="51" spans="41:42" s="29" customFormat="1" ht="12">
      <c r="AO51"/>
      <c r="AP51"/>
    </row>
    <row r="52" spans="41:42" s="29" customFormat="1" ht="12">
      <c r="AO52"/>
      <c r="AP52"/>
    </row>
    <row r="53" spans="41:42" s="29" customFormat="1" ht="12">
      <c r="AO53"/>
      <c r="AP53"/>
    </row>
    <row r="54" spans="41:42" s="29" customFormat="1" ht="12">
      <c r="AO54"/>
      <c r="AP54"/>
    </row>
    <row r="55" spans="41:42" s="29" customFormat="1" ht="12">
      <c r="AO55"/>
      <c r="AP55"/>
    </row>
    <row r="56" spans="41:42" s="29" customFormat="1" ht="12">
      <c r="AO56"/>
      <c r="AP56"/>
    </row>
    <row r="57" spans="41:42" s="29" customFormat="1" ht="12">
      <c r="AO57"/>
      <c r="AP57"/>
    </row>
    <row r="58" spans="41:42" s="29" customFormat="1" ht="12">
      <c r="AO58"/>
      <c r="AP58"/>
    </row>
    <row r="59" spans="41:42" s="29" customFormat="1" ht="12">
      <c r="AO59"/>
      <c r="AP59"/>
    </row>
    <row r="60" spans="41:42" s="29" customFormat="1" ht="12">
      <c r="AO60"/>
      <c r="AP60"/>
    </row>
    <row r="61" spans="41:42" s="29" customFormat="1" ht="12">
      <c r="AO61"/>
      <c r="AP61"/>
    </row>
    <row r="62" spans="41:42" s="29" customFormat="1" ht="12">
      <c r="AO62"/>
      <c r="AP62"/>
    </row>
    <row r="63" spans="41:42" s="29" customFormat="1" ht="12">
      <c r="AO63"/>
      <c r="AP63"/>
    </row>
    <row r="64" spans="41:42" s="29" customFormat="1" ht="12">
      <c r="AO64"/>
      <c r="AP64"/>
    </row>
    <row r="65" spans="41:42" s="29" customFormat="1" ht="12">
      <c r="AO65"/>
      <c r="AP65"/>
    </row>
    <row r="66" spans="41:42" s="29" customFormat="1" ht="12">
      <c r="AO66"/>
      <c r="AP66"/>
    </row>
    <row r="67" spans="41:42" s="29" customFormat="1" ht="12">
      <c r="AO67"/>
      <c r="AP67"/>
    </row>
    <row r="68" spans="41:42" s="29" customFormat="1" ht="12">
      <c r="AO68"/>
      <c r="AP68"/>
    </row>
  </sheetData>
  <sheetProtection password="CCBC" sheet="1"/>
  <customSheetViews>
    <customSheetView guid="{48BF2AC7-6055-432C-8BF0-71FB56F968AB}" scale="85" showGridLines="0" hiddenColumns="1">
      <pageMargins left="0.7" right="0.7" top="0.78740157499999996" bottom="0.78740157499999996" header="0.3" footer="0.3"/>
    </customSheetView>
  </customSheetViews>
  <mergeCells count="5">
    <mergeCell ref="I4:I5"/>
    <mergeCell ref="P4:P5"/>
    <mergeCell ref="W4:W5"/>
    <mergeCell ref="AD4:AD5"/>
    <mergeCell ref="AK4:AK5"/>
  </mergeCells>
  <dataValidations count="3">
    <dataValidation allowBlank="1" showInputMessage="1" showErrorMessage="1" prompt="Enregistrer les horaires des modules sous &quot;lundi&quot;; ils seront ensuite reportés sur les cinq jours de la semaine_x000a_" sqref="A4"/>
    <dataValidation allowBlank="1" showInputMessage="1" showErrorMessage="1" prompt="Enregistrer les horaires des modules sous &quot;lundi&quot;; ils seront ensuite reportés sur les cinq jours de la semaine" sqref="A5"/>
    <dataValidation allowBlank="1" showInputMessage="1" showErrorMessage="1" prompt="Pour que les valeurs soient prises en compte dans l'établissement du budget, vous devez absolument mettre un X dans la case en question._x000a__x000a_" sqref="A8"/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F130"/>
  <sheetViews>
    <sheetView showGridLines="0" topLeftCell="A97" zoomScale="130" zoomScaleNormal="130" workbookViewId="0">
      <selection activeCell="B121" sqref="B121:D122"/>
    </sheetView>
  </sheetViews>
  <sheetFormatPr baseColWidth="10" defaultColWidth="10.85546875" defaultRowHeight="12.75"/>
  <cols>
    <col min="1" max="1" width="48.28515625" style="4" customWidth="1"/>
    <col min="2" max="4" width="10.28515625" style="2" customWidth="1"/>
    <col min="5" max="5" width="33.140625" style="2" customWidth="1"/>
    <col min="6" max="16384" width="10.85546875" style="2"/>
  </cols>
  <sheetData>
    <row r="1" spans="1:6">
      <c r="A1" s="4" t="str">
        <f>'Valeurs de référence'!A1</f>
        <v>Calcul des frais d'exploitation d'une école à journée continue dans le canton de Berne</v>
      </c>
      <c r="E1" s="22"/>
    </row>
    <row r="3" spans="1:6" ht="15.75">
      <c r="A3" s="84"/>
    </row>
    <row r="4" spans="1:6" s="3" customFormat="1" ht="15.75">
      <c r="A4" s="84" t="s">
        <v>153</v>
      </c>
      <c r="B4" s="1"/>
    </row>
    <row r="5" spans="1:6" s="3" customFormat="1" ht="3.75" customHeight="1">
      <c r="A5" s="84"/>
    </row>
    <row r="6" spans="1:6" ht="18.75" customHeight="1">
      <c r="A6" s="85"/>
      <c r="B6" s="15" t="s">
        <v>89</v>
      </c>
      <c r="C6" s="15" t="s">
        <v>90</v>
      </c>
      <c r="D6" s="15" t="s">
        <v>91</v>
      </c>
    </row>
    <row r="7" spans="1:6">
      <c r="A7" s="86" t="s">
        <v>92</v>
      </c>
      <c r="B7" s="59">
        <f>'Valeurs de référence'!C7</f>
        <v>38</v>
      </c>
      <c r="C7" s="59">
        <f>'Valeurs de référence'!D7</f>
        <v>38</v>
      </c>
      <c r="D7" s="59">
        <f>'Valeurs de référence'!E7</f>
        <v>38</v>
      </c>
    </row>
    <row r="8" spans="1:6" s="58" customFormat="1">
      <c r="A8" s="105" t="s">
        <v>155</v>
      </c>
      <c r="B8" s="108"/>
      <c r="C8" s="108"/>
      <c r="D8" s="108"/>
    </row>
    <row r="9" spans="1:6" ht="12.75" customHeight="1">
      <c r="A9" s="87" t="s">
        <v>154</v>
      </c>
      <c r="B9" s="115">
        <f>'Valeurs de référence'!C13</f>
        <v>0</v>
      </c>
      <c r="C9" s="115">
        <f>'Valeurs de référence'!D13</f>
        <v>0</v>
      </c>
      <c r="D9" s="115">
        <f>'Valeurs de référence'!E13</f>
        <v>0</v>
      </c>
      <c r="E9" s="18"/>
    </row>
    <row r="10" spans="1:6">
      <c r="A10" s="88" t="s">
        <v>217</v>
      </c>
      <c r="B10" s="60">
        <f>'Valeurs de référence'!C19</f>
        <v>114249</v>
      </c>
      <c r="C10" s="60">
        <f>'Valeurs de référence'!D19</f>
        <v>114249</v>
      </c>
      <c r="D10" s="60">
        <f>'Valeurs de référence'!E19</f>
        <v>114249</v>
      </c>
    </row>
    <row r="11" spans="1:6" s="8" customFormat="1" ht="15" customHeight="1">
      <c r="A11" s="89" t="s">
        <v>156</v>
      </c>
      <c r="B11" s="67">
        <f>B9*B10</f>
        <v>0</v>
      </c>
      <c r="C11" s="67">
        <f>C9*C10</f>
        <v>0</v>
      </c>
      <c r="D11" s="67">
        <f>D9*D10</f>
        <v>0</v>
      </c>
    </row>
    <row r="12" spans="1:6" s="58" customFormat="1">
      <c r="A12" s="105" t="s">
        <v>194</v>
      </c>
      <c r="B12" s="108"/>
      <c r="C12" s="108"/>
      <c r="D12" s="108"/>
    </row>
    <row r="13" spans="1:6" ht="12.75" customHeight="1">
      <c r="A13" s="87" t="s">
        <v>93</v>
      </c>
      <c r="B13" s="101">
        <f>'Plan d''occupation_1re année'!AN11</f>
        <v>10.333333333333336</v>
      </c>
      <c r="C13" s="101">
        <f>'Plan d''occupation_2e année'!AN11</f>
        <v>10.333333333333336</v>
      </c>
      <c r="D13" s="101">
        <f>'Plan d''occupation_3e année'!AN11</f>
        <v>10.333333333333336</v>
      </c>
      <c r="E13" s="18"/>
    </row>
    <row r="14" spans="1:6">
      <c r="A14" s="86" t="s">
        <v>94</v>
      </c>
      <c r="B14" s="62">
        <f>B7*B13</f>
        <v>392.66666666666674</v>
      </c>
      <c r="C14" s="62">
        <f>C7*C13</f>
        <v>392.66666666666674</v>
      </c>
      <c r="D14" s="62">
        <f>D7*D13</f>
        <v>392.66666666666674</v>
      </c>
      <c r="F14" s="25"/>
    </row>
    <row r="15" spans="1:6">
      <c r="A15" s="90" t="s">
        <v>95</v>
      </c>
      <c r="B15" s="63">
        <f>SUM(B14:B14)</f>
        <v>392.66666666666674</v>
      </c>
      <c r="C15" s="63">
        <f>SUM(C14:C14)</f>
        <v>392.66666666666674</v>
      </c>
      <c r="D15" s="63">
        <f>SUM(D14:D14)</f>
        <v>392.66666666666674</v>
      </c>
    </row>
    <row r="16" spans="1:6">
      <c r="A16" s="87" t="s">
        <v>195</v>
      </c>
      <c r="B16" s="62">
        <f>'Valeurs de référence'!C11</f>
        <v>1903</v>
      </c>
      <c r="C16" s="62">
        <f>'Valeurs de référence'!D11</f>
        <v>1903</v>
      </c>
      <c r="D16" s="62">
        <f>'Valeurs de référence'!E11</f>
        <v>1903</v>
      </c>
    </row>
    <row r="17" spans="1:6" ht="24.95" customHeight="1">
      <c r="A17" s="87" t="s">
        <v>213</v>
      </c>
      <c r="B17" s="66">
        <f>B15/B16</f>
        <v>0.20634086530040291</v>
      </c>
      <c r="C17" s="66">
        <f>C15/C16</f>
        <v>0.20634086530040291</v>
      </c>
      <c r="D17" s="66">
        <f>D15/D16</f>
        <v>0.20634086530040291</v>
      </c>
      <c r="E17" s="7"/>
    </row>
    <row r="18" spans="1:6" s="12" customFormat="1" ht="12" customHeight="1">
      <c r="A18" s="88" t="s">
        <v>219</v>
      </c>
      <c r="B18" s="73">
        <f>'Valeurs de référence'!C20</f>
        <v>103216</v>
      </c>
      <c r="C18" s="73">
        <f>'Valeurs de référence'!D20</f>
        <v>103216</v>
      </c>
      <c r="D18" s="73">
        <f>'Valeurs de référence'!E20</f>
        <v>103216</v>
      </c>
      <c r="E18" s="2"/>
      <c r="F18" s="2"/>
    </row>
    <row r="19" spans="1:6" s="8" customFormat="1" ht="24.95" customHeight="1">
      <c r="A19" s="133" t="s">
        <v>157</v>
      </c>
      <c r="B19" s="98">
        <f>ROUND(B17*B18,0)</f>
        <v>21298</v>
      </c>
      <c r="C19" s="98">
        <f>ROUND(C17*C18,0)</f>
        <v>21298</v>
      </c>
      <c r="D19" s="98">
        <f>ROUND(D17*D18,0)</f>
        <v>21298</v>
      </c>
    </row>
    <row r="20" spans="1:6" s="58" customFormat="1">
      <c r="A20" s="105" t="s">
        <v>99</v>
      </c>
      <c r="B20" s="108"/>
      <c r="C20" s="108"/>
      <c r="D20" s="108"/>
    </row>
    <row r="21" spans="1:6" ht="12.75" customHeight="1">
      <c r="A21" s="87" t="s">
        <v>198</v>
      </c>
      <c r="B21" s="101">
        <f>'Plan d''occupation_1re année'!AN12</f>
        <v>0.99999999999999911</v>
      </c>
      <c r="C21" s="101">
        <f>'Plan d''occupation_2e année'!AN12</f>
        <v>0.99999999999999911</v>
      </c>
      <c r="D21" s="101">
        <f>'Plan d''occupation_3e année'!AN12</f>
        <v>0.99999999999999911</v>
      </c>
      <c r="E21" s="18"/>
    </row>
    <row r="22" spans="1:6" ht="25.5">
      <c r="A22" s="185" t="s">
        <v>199</v>
      </c>
      <c r="B22" s="325"/>
      <c r="C22" s="325"/>
      <c r="D22" s="325"/>
      <c r="E22" s="18"/>
    </row>
    <row r="23" spans="1:6" ht="25.7" customHeight="1">
      <c r="A23" s="87" t="s">
        <v>196</v>
      </c>
      <c r="B23" s="61">
        <f>(B21+B22)*$B$7</f>
        <v>37.999999999999964</v>
      </c>
      <c r="C23" s="61">
        <f>(C21+C22)*$B$7</f>
        <v>37.999999999999964</v>
      </c>
      <c r="D23" s="61">
        <f>(D21+D22)*$B$7</f>
        <v>37.999999999999964</v>
      </c>
    </row>
    <row r="24" spans="1:6" ht="12.75" customHeight="1">
      <c r="A24" s="88" t="s">
        <v>97</v>
      </c>
      <c r="B24" s="62">
        <f>IF(B21&gt;0,'Valeurs de référence'!C14,0)</f>
        <v>0</v>
      </c>
      <c r="C24" s="62">
        <f>IF(C21&gt;0,'Valeurs de référence'!D14,0)</f>
        <v>0</v>
      </c>
      <c r="D24" s="62">
        <f>IF(D21&gt;0,'Valeurs de référence'!E14,0)</f>
        <v>0</v>
      </c>
    </row>
    <row r="25" spans="1:6">
      <c r="A25" s="90" t="s">
        <v>95</v>
      </c>
      <c r="B25" s="65">
        <f>SUM(B23:B24)</f>
        <v>37.999999999999964</v>
      </c>
      <c r="C25" s="65">
        <f>SUM(C23:C24)</f>
        <v>37.999999999999964</v>
      </c>
      <c r="D25" s="65">
        <f>SUM(D23:D24)</f>
        <v>37.999999999999964</v>
      </c>
    </row>
    <row r="26" spans="1:6">
      <c r="A26" s="87" t="s">
        <v>195</v>
      </c>
      <c r="B26" s="62">
        <f>'Valeurs de référence'!C11</f>
        <v>1903</v>
      </c>
      <c r="C26" s="62">
        <f>'Valeurs de référence'!D11</f>
        <v>1903</v>
      </c>
      <c r="D26" s="62">
        <f>'Valeurs de référence'!E11</f>
        <v>1903</v>
      </c>
    </row>
    <row r="27" spans="1:6" ht="12" customHeight="1">
      <c r="A27" s="86" t="s">
        <v>98</v>
      </c>
      <c r="B27" s="66">
        <f>B25/B26</f>
        <v>1.996847083552284E-2</v>
      </c>
      <c r="C27" s="66">
        <f>C25/C26</f>
        <v>1.996847083552284E-2</v>
      </c>
      <c r="D27" s="66">
        <f>D25/D26</f>
        <v>1.996847083552284E-2</v>
      </c>
      <c r="E27" s="7"/>
    </row>
    <row r="28" spans="1:6" s="12" customFormat="1" ht="12" customHeight="1">
      <c r="A28" s="88" t="s">
        <v>217</v>
      </c>
      <c r="B28" s="73">
        <f>'Valeurs de référence'!C20</f>
        <v>103216</v>
      </c>
      <c r="C28" s="73">
        <f>'Valeurs de référence'!D20</f>
        <v>103216</v>
      </c>
      <c r="D28" s="73">
        <f>'Valeurs de référence'!E20</f>
        <v>103216</v>
      </c>
      <c r="E28" s="2"/>
      <c r="F28" s="2"/>
    </row>
    <row r="29" spans="1:6" s="8" customFormat="1" ht="15" customHeight="1">
      <c r="A29" s="89" t="s">
        <v>200</v>
      </c>
      <c r="B29" s="98">
        <f>ROUND(B27*B28,0)</f>
        <v>2061</v>
      </c>
      <c r="C29" s="98">
        <f>ROUND(C27*C28,0)</f>
        <v>2061</v>
      </c>
      <c r="D29" s="98">
        <f>ROUND(D27*D28,0)</f>
        <v>2061</v>
      </c>
    </row>
    <row r="30" spans="1:6" s="58" customFormat="1">
      <c r="A30" s="105" t="s">
        <v>100</v>
      </c>
      <c r="B30" s="108"/>
      <c r="C30" s="108"/>
      <c r="D30" s="108"/>
    </row>
    <row r="31" spans="1:6">
      <c r="A31" s="87" t="s">
        <v>214</v>
      </c>
      <c r="B31" s="101">
        <f>'Plan d''occupation_1re année'!AN13</f>
        <v>3.3333333333333335</v>
      </c>
      <c r="C31" s="101">
        <f>'Plan d''occupation_2e année'!AN13</f>
        <v>3.3333333333333335</v>
      </c>
      <c r="D31" s="101">
        <f>'Plan d''occupation_3e année'!AN13</f>
        <v>3.3333333333333335</v>
      </c>
    </row>
    <row r="32" spans="1:6" ht="25.5">
      <c r="A32" s="87" t="s">
        <v>199</v>
      </c>
      <c r="B32" s="325"/>
      <c r="C32" s="325"/>
      <c r="D32" s="325"/>
      <c r="E32" s="18"/>
    </row>
    <row r="33" spans="1:5" ht="25.5">
      <c r="A33" s="87" t="s">
        <v>196</v>
      </c>
      <c r="B33" s="61">
        <f>(B31+B32)*$B$7</f>
        <v>126.66666666666667</v>
      </c>
      <c r="C33" s="61">
        <f>(C31+C32)*$B$7</f>
        <v>126.66666666666667</v>
      </c>
      <c r="D33" s="61">
        <f>(D31+D32)*$B$7</f>
        <v>126.66666666666667</v>
      </c>
    </row>
    <row r="34" spans="1:5" s="4" customFormat="1">
      <c r="A34" s="88" t="s">
        <v>97</v>
      </c>
      <c r="B34" s="61">
        <f>IF(B31&gt;0,'Valeurs de référence'!C14,0)</f>
        <v>0</v>
      </c>
      <c r="C34" s="61">
        <f>IF(C31&gt;0,'Valeurs de référence'!D14,0)</f>
        <v>0</v>
      </c>
      <c r="D34" s="61">
        <f>IF(D31&gt;0,'Valeurs de référence'!E14,0)</f>
        <v>0</v>
      </c>
    </row>
    <row r="35" spans="1:5">
      <c r="A35" s="90" t="s">
        <v>95</v>
      </c>
      <c r="B35" s="65">
        <f>SUM(B33:B34)</f>
        <v>126.66666666666667</v>
      </c>
      <c r="C35" s="65">
        <f>SUM(C33:C34)</f>
        <v>126.66666666666667</v>
      </c>
      <c r="D35" s="65">
        <f>SUM(D33:D34)</f>
        <v>126.66666666666667</v>
      </c>
    </row>
    <row r="36" spans="1:5">
      <c r="A36" s="87" t="s">
        <v>195</v>
      </c>
      <c r="B36" s="62">
        <f>'Valeurs de référence'!C11</f>
        <v>1903</v>
      </c>
      <c r="C36" s="62">
        <f>'Valeurs de référence'!D11</f>
        <v>1903</v>
      </c>
      <c r="D36" s="62">
        <f>'Valeurs de référence'!E11</f>
        <v>1903</v>
      </c>
    </row>
    <row r="37" spans="1:5">
      <c r="A37" s="86" t="s">
        <v>98</v>
      </c>
      <c r="B37" s="66">
        <f>B35/B36</f>
        <v>6.6561569451742866E-2</v>
      </c>
      <c r="C37" s="66">
        <f>C35/C36</f>
        <v>6.6561569451742866E-2</v>
      </c>
      <c r="D37" s="66">
        <f>D35/D36</f>
        <v>6.6561569451742866E-2</v>
      </c>
    </row>
    <row r="38" spans="1:5">
      <c r="A38" s="88" t="s">
        <v>217</v>
      </c>
      <c r="B38" s="60">
        <f>'Valeurs de référence'!C20</f>
        <v>103216</v>
      </c>
      <c r="C38" s="60">
        <f>'Valeurs de référence'!D20</f>
        <v>103216</v>
      </c>
      <c r="D38" s="60">
        <f>'Valeurs de référence'!E20</f>
        <v>103216</v>
      </c>
    </row>
    <row r="39" spans="1:5" s="8" customFormat="1" ht="15" customHeight="1">
      <c r="A39" s="89" t="s">
        <v>158</v>
      </c>
      <c r="B39" s="98">
        <f>B38*B37</f>
        <v>6870.2189525310914</v>
      </c>
      <c r="C39" s="98">
        <f>C38*C37</f>
        <v>6870.2189525310914</v>
      </c>
      <c r="D39" s="98">
        <f>D38*D37</f>
        <v>6870.2189525310914</v>
      </c>
    </row>
    <row r="40" spans="1:5" s="58" customFormat="1">
      <c r="A40" s="105" t="s">
        <v>101</v>
      </c>
      <c r="B40" s="108"/>
      <c r="C40" s="108"/>
      <c r="D40" s="108"/>
    </row>
    <row r="41" spans="1:5">
      <c r="A41" s="87" t="s">
        <v>214</v>
      </c>
      <c r="B41" s="101">
        <f>'Plan d''occupation_1re année'!AN14</f>
        <v>0</v>
      </c>
      <c r="C41" s="101">
        <f>'Plan d''occupation_2e année'!AN14</f>
        <v>0</v>
      </c>
      <c r="D41" s="101">
        <f>'Plan d''occupation_3e année'!AN14</f>
        <v>0</v>
      </c>
    </row>
    <row r="42" spans="1:5" ht="25.5">
      <c r="A42" s="87" t="s">
        <v>199</v>
      </c>
      <c r="B42" s="325"/>
      <c r="C42" s="325"/>
      <c r="D42" s="325"/>
      <c r="E42" s="18"/>
    </row>
    <row r="43" spans="1:5" ht="25.5">
      <c r="A43" s="87" t="s">
        <v>196</v>
      </c>
      <c r="B43" s="71">
        <f>(B41+B42)*$B$7</f>
        <v>0</v>
      </c>
      <c r="C43" s="71">
        <f>(C41+C42)*$B$7</f>
        <v>0</v>
      </c>
      <c r="D43" s="71">
        <f>(D41+D42)*$B$7</f>
        <v>0</v>
      </c>
    </row>
    <row r="44" spans="1:5" s="4" customFormat="1">
      <c r="A44" s="88" t="s">
        <v>97</v>
      </c>
      <c r="B44" s="61">
        <f>IF(B41&gt;0,'Valeurs de référence'!C14,0)</f>
        <v>0</v>
      </c>
      <c r="C44" s="61">
        <f>IF(C41&gt;0,'Valeurs de référence'!D14,0)</f>
        <v>0</v>
      </c>
      <c r="D44" s="61">
        <f>IF(D41&gt;0,'Valeurs de référence'!E14,0)</f>
        <v>0</v>
      </c>
    </row>
    <row r="45" spans="1:5">
      <c r="A45" s="90" t="s">
        <v>95</v>
      </c>
      <c r="B45" s="116">
        <f>SUM(B43:B44)</f>
        <v>0</v>
      </c>
      <c r="C45" s="116">
        <f>SUM(C43:C44)</f>
        <v>0</v>
      </c>
      <c r="D45" s="116">
        <f>SUM(D43:D44)</f>
        <v>0</v>
      </c>
    </row>
    <row r="46" spans="1:5">
      <c r="A46" s="87" t="s">
        <v>195</v>
      </c>
      <c r="B46" s="62">
        <f>'Valeurs de référence'!C11</f>
        <v>1903</v>
      </c>
      <c r="C46" s="62">
        <f>'Valeurs de référence'!D11</f>
        <v>1903</v>
      </c>
      <c r="D46" s="62">
        <f>'Valeurs de référence'!E11</f>
        <v>1903</v>
      </c>
    </row>
    <row r="47" spans="1:5">
      <c r="A47" s="86" t="s">
        <v>98</v>
      </c>
      <c r="B47" s="66">
        <f>B45/B46</f>
        <v>0</v>
      </c>
      <c r="C47" s="66">
        <f>C45/C46</f>
        <v>0</v>
      </c>
      <c r="D47" s="66">
        <f>D45/D46</f>
        <v>0</v>
      </c>
    </row>
    <row r="48" spans="1:5">
      <c r="A48" s="88" t="s">
        <v>217</v>
      </c>
      <c r="B48" s="60">
        <f>'Valeurs de référence'!C20</f>
        <v>103216</v>
      </c>
      <c r="C48" s="60">
        <f>'Valeurs de référence'!D20</f>
        <v>103216</v>
      </c>
      <c r="D48" s="60">
        <f>'Valeurs de référence'!E20</f>
        <v>103216</v>
      </c>
    </row>
    <row r="49" spans="1:5" s="8" customFormat="1" ht="15" customHeight="1">
      <c r="A49" s="89" t="s">
        <v>201</v>
      </c>
      <c r="B49" s="68">
        <f>B48*B47</f>
        <v>0</v>
      </c>
      <c r="C49" s="68">
        <f>C48*C47</f>
        <v>0</v>
      </c>
      <c r="D49" s="68">
        <f>D48*D47</f>
        <v>0</v>
      </c>
    </row>
    <row r="50" spans="1:5" s="58" customFormat="1">
      <c r="A50" s="105" t="s">
        <v>102</v>
      </c>
      <c r="B50" s="108"/>
      <c r="C50" s="108"/>
      <c r="D50" s="108"/>
    </row>
    <row r="51" spans="1:5">
      <c r="A51" s="87" t="s">
        <v>214</v>
      </c>
      <c r="B51" s="101">
        <f>'Plan d''occupation_1re année'!AN15</f>
        <v>0</v>
      </c>
      <c r="C51" s="101">
        <f>'Plan d''occupation_2e année'!AN15</f>
        <v>0</v>
      </c>
      <c r="D51" s="101">
        <f>'Plan d''occupation_3e année'!AN15</f>
        <v>0</v>
      </c>
    </row>
    <row r="52" spans="1:5" ht="25.5">
      <c r="A52" s="87" t="s">
        <v>199</v>
      </c>
      <c r="B52" s="325"/>
      <c r="C52" s="325"/>
      <c r="D52" s="325"/>
      <c r="E52" s="18"/>
    </row>
    <row r="53" spans="1:5" ht="25.5">
      <c r="A53" s="87" t="s">
        <v>196</v>
      </c>
      <c r="B53" s="71">
        <f>(B51+B52)*$B$7</f>
        <v>0</v>
      </c>
      <c r="C53" s="71">
        <f>(C51+C52)*$B$7</f>
        <v>0</v>
      </c>
      <c r="D53" s="71">
        <f>(D51+D52)*$B$7</f>
        <v>0</v>
      </c>
    </row>
    <row r="54" spans="1:5" s="4" customFormat="1">
      <c r="A54" s="88" t="s">
        <v>97</v>
      </c>
      <c r="B54" s="61">
        <f>IF(B51&gt;0,'Valeurs de référence'!C14,0)</f>
        <v>0</v>
      </c>
      <c r="C54" s="61">
        <f>IF(C51&gt;0,'Valeurs de référence'!D14,0)</f>
        <v>0</v>
      </c>
      <c r="D54" s="61">
        <f>IF(D51&gt;0,'Valeurs de référence'!E14,0)</f>
        <v>0</v>
      </c>
    </row>
    <row r="55" spans="1:5">
      <c r="A55" s="90" t="s">
        <v>95</v>
      </c>
      <c r="B55" s="116">
        <f>SUM(B53:B54)</f>
        <v>0</v>
      </c>
      <c r="C55" s="116">
        <f>SUM(C53:C54)</f>
        <v>0</v>
      </c>
      <c r="D55" s="116">
        <f>SUM(D53:D54)</f>
        <v>0</v>
      </c>
    </row>
    <row r="56" spans="1:5">
      <c r="A56" s="87" t="s">
        <v>195</v>
      </c>
      <c r="B56" s="62">
        <f>'Valeurs de référence'!C11</f>
        <v>1903</v>
      </c>
      <c r="C56" s="62">
        <f>'Valeurs de référence'!D11</f>
        <v>1903</v>
      </c>
      <c r="D56" s="62">
        <f>'Valeurs de référence'!E11</f>
        <v>1903</v>
      </c>
    </row>
    <row r="57" spans="1:5">
      <c r="A57" s="86" t="s">
        <v>98</v>
      </c>
      <c r="B57" s="66">
        <f>B55/B56</f>
        <v>0</v>
      </c>
      <c r="C57" s="66">
        <f>C55/C56</f>
        <v>0</v>
      </c>
      <c r="D57" s="66">
        <f>D55/D56</f>
        <v>0</v>
      </c>
    </row>
    <row r="58" spans="1:5">
      <c r="A58" s="88" t="s">
        <v>217</v>
      </c>
      <c r="B58" s="60">
        <f>'Valeurs de référence'!C20</f>
        <v>103216</v>
      </c>
      <c r="C58" s="60">
        <f>'Valeurs de référence'!D20</f>
        <v>103216</v>
      </c>
      <c r="D58" s="60">
        <f>'Valeurs de référence'!E20</f>
        <v>103216</v>
      </c>
    </row>
    <row r="59" spans="1:5" s="8" customFormat="1" ht="15" customHeight="1">
      <c r="A59" s="89" t="s">
        <v>159</v>
      </c>
      <c r="B59" s="68">
        <f>B58*B57</f>
        <v>0</v>
      </c>
      <c r="C59" s="68">
        <f>C58*C57</f>
        <v>0</v>
      </c>
      <c r="D59" s="68">
        <f>D58*D57</f>
        <v>0</v>
      </c>
    </row>
    <row r="60" spans="1:5" s="58" customFormat="1">
      <c r="A60" s="105" t="s">
        <v>103</v>
      </c>
      <c r="B60" s="108"/>
      <c r="C60" s="108"/>
      <c r="D60" s="108"/>
    </row>
    <row r="61" spans="1:5">
      <c r="A61" s="87" t="s">
        <v>214</v>
      </c>
      <c r="B61" s="101">
        <f>'Plan d''occupation_1re année'!AN16</f>
        <v>0</v>
      </c>
      <c r="C61" s="101">
        <f>'Plan d''occupation_2e année'!AN16</f>
        <v>0</v>
      </c>
      <c r="D61" s="101">
        <f>'Plan d''occupation_3e année'!AN16</f>
        <v>0</v>
      </c>
    </row>
    <row r="62" spans="1:5" ht="25.5">
      <c r="A62" s="87" t="s">
        <v>199</v>
      </c>
      <c r="B62" s="325"/>
      <c r="C62" s="325"/>
      <c r="D62" s="325"/>
      <c r="E62" s="18"/>
    </row>
    <row r="63" spans="1:5" ht="25.5">
      <c r="A63" s="87" t="s">
        <v>196</v>
      </c>
      <c r="B63" s="71">
        <f>(B61+B62)*$B$7</f>
        <v>0</v>
      </c>
      <c r="C63" s="71">
        <f>(C61+C62)*$B$7</f>
        <v>0</v>
      </c>
      <c r="D63" s="71">
        <f>(D61+D62)*$B$7</f>
        <v>0</v>
      </c>
    </row>
    <row r="64" spans="1:5" s="4" customFormat="1">
      <c r="A64" s="88" t="s">
        <v>97</v>
      </c>
      <c r="B64" s="61">
        <f>IF(B61&gt;0,'Valeurs de référence'!C14,0)</f>
        <v>0</v>
      </c>
      <c r="C64" s="61">
        <f>IF(C61&gt;0,'Valeurs de référence'!D14,0)</f>
        <v>0</v>
      </c>
      <c r="D64" s="61">
        <f>IF(D61&gt;0,'Valeurs de référence'!E14,0)</f>
        <v>0</v>
      </c>
    </row>
    <row r="65" spans="1:5">
      <c r="A65" s="90" t="s">
        <v>95</v>
      </c>
      <c r="B65" s="116">
        <f>SUM(B63:B64)</f>
        <v>0</v>
      </c>
      <c r="C65" s="116">
        <f>SUM(C63:C64)</f>
        <v>0</v>
      </c>
      <c r="D65" s="116">
        <f>SUM(D63:D64)</f>
        <v>0</v>
      </c>
    </row>
    <row r="66" spans="1:5">
      <c r="A66" s="87" t="s">
        <v>195</v>
      </c>
      <c r="B66" s="62">
        <f>'Valeurs de référence'!C11</f>
        <v>1903</v>
      </c>
      <c r="C66" s="62">
        <f>'Valeurs de référence'!D11</f>
        <v>1903</v>
      </c>
      <c r="D66" s="62">
        <f>'Valeurs de référence'!E11</f>
        <v>1903</v>
      </c>
    </row>
    <row r="67" spans="1:5">
      <c r="A67" s="86" t="s">
        <v>98</v>
      </c>
      <c r="B67" s="66">
        <f>B65/B66</f>
        <v>0</v>
      </c>
      <c r="C67" s="66">
        <f>C65/C66</f>
        <v>0</v>
      </c>
      <c r="D67" s="66">
        <f>D65/D66</f>
        <v>0</v>
      </c>
    </row>
    <row r="68" spans="1:5">
      <c r="A68" s="88" t="s">
        <v>217</v>
      </c>
      <c r="B68" s="60">
        <f>'Valeurs de référence'!C20</f>
        <v>103216</v>
      </c>
      <c r="C68" s="60">
        <f>'Valeurs de référence'!D20</f>
        <v>103216</v>
      </c>
      <c r="D68" s="60">
        <f>'Valeurs de référence'!E20</f>
        <v>103216</v>
      </c>
    </row>
    <row r="69" spans="1:5" s="8" customFormat="1" ht="15" customHeight="1">
      <c r="A69" s="89" t="s">
        <v>202</v>
      </c>
      <c r="B69" s="68">
        <f>B68*B67</f>
        <v>0</v>
      </c>
      <c r="C69" s="68">
        <f>C68*C67</f>
        <v>0</v>
      </c>
      <c r="D69" s="68">
        <f>D68*D67</f>
        <v>0</v>
      </c>
    </row>
    <row r="70" spans="1:5" s="58" customFormat="1">
      <c r="A70" s="105" t="s">
        <v>104</v>
      </c>
      <c r="B70" s="108"/>
      <c r="C70" s="108"/>
      <c r="D70" s="108"/>
    </row>
    <row r="71" spans="1:5">
      <c r="A71" s="87" t="s">
        <v>214</v>
      </c>
      <c r="B71" s="101">
        <f>'Plan d''occupation_1re année'!AN17</f>
        <v>2.7499999999999996</v>
      </c>
      <c r="C71" s="101">
        <f>'Plan d''occupation_2e année'!AN17</f>
        <v>2.7499999999999996</v>
      </c>
      <c r="D71" s="101">
        <f>'Plan d''occupation_3e année'!AN17</f>
        <v>2.7499999999999996</v>
      </c>
    </row>
    <row r="72" spans="1:5" ht="25.5">
      <c r="A72" s="87" t="s">
        <v>199</v>
      </c>
      <c r="B72" s="325"/>
      <c r="C72" s="325"/>
      <c r="D72" s="325"/>
      <c r="E72" s="18"/>
    </row>
    <row r="73" spans="1:5" ht="25.5">
      <c r="A73" s="87" t="s">
        <v>196</v>
      </c>
      <c r="B73" s="71">
        <f>(B71+B72)*$B$7</f>
        <v>104.49999999999999</v>
      </c>
      <c r="C73" s="71">
        <f>(C71+C72)*$B$7</f>
        <v>104.49999999999999</v>
      </c>
      <c r="D73" s="71">
        <f>(D71+D72)*$B$7</f>
        <v>104.49999999999999</v>
      </c>
    </row>
    <row r="74" spans="1:5" s="4" customFormat="1">
      <c r="A74" s="88" t="s">
        <v>97</v>
      </c>
      <c r="B74" s="61">
        <f>IF(B71&gt;0,'Valeurs de référence'!C14,0)</f>
        <v>0</v>
      </c>
      <c r="C74" s="61">
        <f>IF(C71&gt;0,'Valeurs de référence'!D14,0)</f>
        <v>0</v>
      </c>
      <c r="D74" s="61">
        <f>IF(D71&gt;0,'Valeurs de référence'!E14,0)</f>
        <v>0</v>
      </c>
    </row>
    <row r="75" spans="1:5">
      <c r="A75" s="90" t="s">
        <v>95</v>
      </c>
      <c r="B75" s="116">
        <f>SUM(B73:B74)</f>
        <v>104.49999999999999</v>
      </c>
      <c r="C75" s="116">
        <f>SUM(C73:C74)</f>
        <v>104.49999999999999</v>
      </c>
      <c r="D75" s="116">
        <f>SUM(D73:D74)</f>
        <v>104.49999999999999</v>
      </c>
    </row>
    <row r="76" spans="1:5">
      <c r="A76" s="87" t="s">
        <v>195</v>
      </c>
      <c r="B76" s="62">
        <f>'Valeurs de référence'!C11</f>
        <v>1903</v>
      </c>
      <c r="C76" s="62">
        <f>'Valeurs de référence'!D11</f>
        <v>1903</v>
      </c>
      <c r="D76" s="62">
        <f>'Valeurs de référence'!E11</f>
        <v>1903</v>
      </c>
    </row>
    <row r="77" spans="1:5">
      <c r="A77" s="86" t="s">
        <v>98</v>
      </c>
      <c r="B77" s="66">
        <f>B75/B76</f>
        <v>5.4913294797687855E-2</v>
      </c>
      <c r="C77" s="66">
        <f>C75/C76</f>
        <v>5.4913294797687855E-2</v>
      </c>
      <c r="D77" s="66">
        <f>D75/D76</f>
        <v>5.4913294797687855E-2</v>
      </c>
    </row>
    <row r="78" spans="1:5">
      <c r="A78" s="88" t="s">
        <v>217</v>
      </c>
      <c r="B78" s="60">
        <f>'Valeurs de référence'!C21</f>
        <v>67236</v>
      </c>
      <c r="C78" s="60">
        <f>'Valeurs de référence'!D21</f>
        <v>67236</v>
      </c>
      <c r="D78" s="60">
        <f>'Valeurs de référence'!E21</f>
        <v>67236</v>
      </c>
    </row>
    <row r="79" spans="1:5" s="8" customFormat="1" ht="15" customHeight="1">
      <c r="A79" s="89" t="s">
        <v>160</v>
      </c>
      <c r="B79" s="68">
        <f>B78*B77</f>
        <v>3692.1502890173406</v>
      </c>
      <c r="C79" s="68">
        <f>C78*C77</f>
        <v>3692.1502890173406</v>
      </c>
      <c r="D79" s="68">
        <f>D78*D77</f>
        <v>3692.1502890173406</v>
      </c>
    </row>
    <row r="80" spans="1:5" s="58" customFormat="1">
      <c r="A80" s="105" t="s">
        <v>105</v>
      </c>
      <c r="B80" s="108"/>
      <c r="C80" s="108"/>
      <c r="D80" s="108"/>
    </row>
    <row r="81" spans="1:5">
      <c r="A81" s="87" t="s">
        <v>214</v>
      </c>
      <c r="B81" s="101">
        <f>'Plan d''occupation_1re année'!AN18</f>
        <v>2.7499999999999996</v>
      </c>
      <c r="C81" s="101">
        <f>'Plan d''occupation_2e année'!AN18</f>
        <v>2.7499999999999996</v>
      </c>
      <c r="D81" s="101">
        <f>'Plan d''occupation_3e année'!AN18</f>
        <v>2.7499999999999996</v>
      </c>
    </row>
    <row r="82" spans="1:5" ht="25.5">
      <c r="A82" s="87" t="s">
        <v>199</v>
      </c>
      <c r="B82" s="325"/>
      <c r="C82" s="325"/>
      <c r="D82" s="325"/>
      <c r="E82" s="18"/>
    </row>
    <row r="83" spans="1:5" ht="25.5">
      <c r="A83" s="87" t="s">
        <v>196</v>
      </c>
      <c r="B83" s="71">
        <f>(B81+B82)*$B$7</f>
        <v>104.49999999999999</v>
      </c>
      <c r="C83" s="71">
        <f>(C81+C82)*$B$7</f>
        <v>104.49999999999999</v>
      </c>
      <c r="D83" s="71">
        <f>(D81+D82)*$B$7</f>
        <v>104.49999999999999</v>
      </c>
    </row>
    <row r="84" spans="1:5" s="4" customFormat="1">
      <c r="A84" s="88" t="s">
        <v>97</v>
      </c>
      <c r="B84" s="61">
        <f>IF(B81&gt;0,'Valeurs de référence'!C14,0)</f>
        <v>0</v>
      </c>
      <c r="C84" s="61">
        <f>IF(C81&gt;0,'Valeurs de référence'!D14,0)</f>
        <v>0</v>
      </c>
      <c r="D84" s="61">
        <f>IF(D81&gt;0,'Valeurs de référence'!E14,0)</f>
        <v>0</v>
      </c>
    </row>
    <row r="85" spans="1:5">
      <c r="A85" s="90" t="s">
        <v>95</v>
      </c>
      <c r="B85" s="116">
        <f>SUM(B83:B84)</f>
        <v>104.49999999999999</v>
      </c>
      <c r="C85" s="116">
        <f>SUM(C83:C84)</f>
        <v>104.49999999999999</v>
      </c>
      <c r="D85" s="116">
        <f>SUM(D83:D84)</f>
        <v>104.49999999999999</v>
      </c>
    </row>
    <row r="86" spans="1:5">
      <c r="A86" s="87" t="s">
        <v>195</v>
      </c>
      <c r="B86" s="62">
        <f>'Valeurs de référence'!C11</f>
        <v>1903</v>
      </c>
      <c r="C86" s="62">
        <f>'Valeurs de référence'!D11</f>
        <v>1903</v>
      </c>
      <c r="D86" s="62">
        <f>'Valeurs de référence'!E11</f>
        <v>1903</v>
      </c>
    </row>
    <row r="87" spans="1:5">
      <c r="A87" s="86" t="s">
        <v>98</v>
      </c>
      <c r="B87" s="66">
        <f>B85/B86</f>
        <v>5.4913294797687855E-2</v>
      </c>
      <c r="C87" s="66">
        <f>C85/C86</f>
        <v>5.4913294797687855E-2</v>
      </c>
      <c r="D87" s="66">
        <f>D85/D86</f>
        <v>5.4913294797687855E-2</v>
      </c>
    </row>
    <row r="88" spans="1:5">
      <c r="A88" s="88" t="s">
        <v>217</v>
      </c>
      <c r="B88" s="60">
        <f>'Valeurs de référence'!C21</f>
        <v>67236</v>
      </c>
      <c r="C88" s="60">
        <f>'Valeurs de référence'!D21</f>
        <v>67236</v>
      </c>
      <c r="D88" s="60">
        <f>'Valeurs de référence'!E21</f>
        <v>67236</v>
      </c>
    </row>
    <row r="89" spans="1:5" s="8" customFormat="1" ht="15" customHeight="1">
      <c r="A89" s="89" t="s">
        <v>161</v>
      </c>
      <c r="B89" s="68">
        <f>B88*B87</f>
        <v>3692.1502890173406</v>
      </c>
      <c r="C89" s="68">
        <f>C88*C87</f>
        <v>3692.1502890173406</v>
      </c>
      <c r="D89" s="68">
        <f>D88*D87</f>
        <v>3692.1502890173406</v>
      </c>
    </row>
    <row r="90" spans="1:5" s="58" customFormat="1">
      <c r="A90" s="105" t="s">
        <v>106</v>
      </c>
      <c r="B90" s="108"/>
      <c r="C90" s="108"/>
      <c r="D90" s="108"/>
    </row>
    <row r="91" spans="1:5">
      <c r="A91" s="87" t="s">
        <v>214</v>
      </c>
      <c r="B91" s="101">
        <f>'Plan d''occupation_1re année'!AN19</f>
        <v>1.8333333333333375</v>
      </c>
      <c r="C91" s="101">
        <f>'Plan d''occupation_2e année'!AN19</f>
        <v>1.8333333333333375</v>
      </c>
      <c r="D91" s="101">
        <f>'Plan d''occupation_3e année'!AN19</f>
        <v>1.8333333333333375</v>
      </c>
    </row>
    <row r="92" spans="1:5" ht="25.5">
      <c r="A92" s="87" t="s">
        <v>199</v>
      </c>
      <c r="B92" s="325"/>
      <c r="C92" s="325"/>
      <c r="D92" s="325"/>
      <c r="E92" s="18"/>
    </row>
    <row r="93" spans="1:5" ht="25.5">
      <c r="A93" s="87" t="s">
        <v>196</v>
      </c>
      <c r="B93" s="71">
        <f>(B91+B92)*$B$7</f>
        <v>69.666666666666828</v>
      </c>
      <c r="C93" s="71">
        <f>(C91+C92)*$B$7</f>
        <v>69.666666666666828</v>
      </c>
      <c r="D93" s="71">
        <f>(D91+D92)*$B$7</f>
        <v>69.666666666666828</v>
      </c>
    </row>
    <row r="94" spans="1:5" s="4" customFormat="1">
      <c r="A94" s="88" t="s">
        <v>97</v>
      </c>
      <c r="B94" s="61">
        <f>IF(B91&gt;0,'Valeurs de référence'!C14,0)</f>
        <v>0</v>
      </c>
      <c r="C94" s="61">
        <f>IF(C91&gt;0,'Valeurs de référence'!D14,0)</f>
        <v>0</v>
      </c>
      <c r="D94" s="61">
        <f>IF(D91&gt;0,'Valeurs de référence'!E14,0)</f>
        <v>0</v>
      </c>
    </row>
    <row r="95" spans="1:5">
      <c r="A95" s="90" t="s">
        <v>95</v>
      </c>
      <c r="B95" s="116">
        <f>SUM(B93:B94)</f>
        <v>69.666666666666828</v>
      </c>
      <c r="C95" s="116">
        <f>SUM(C93:C94)</f>
        <v>69.666666666666828</v>
      </c>
      <c r="D95" s="116">
        <f>SUM(D93:D94)</f>
        <v>69.666666666666828</v>
      </c>
    </row>
    <row r="96" spans="1:5">
      <c r="A96" s="87" t="s">
        <v>195</v>
      </c>
      <c r="B96" s="62">
        <f>'Valeurs de référence'!C11</f>
        <v>1903</v>
      </c>
      <c r="C96" s="62">
        <f>'Valeurs de référence'!D11</f>
        <v>1903</v>
      </c>
      <c r="D96" s="62">
        <f>'Valeurs de référence'!E11</f>
        <v>1903</v>
      </c>
    </row>
    <row r="97" spans="1:5">
      <c r="A97" s="86" t="s">
        <v>98</v>
      </c>
      <c r="B97" s="66">
        <f>B95/B96</f>
        <v>3.6608863198458658E-2</v>
      </c>
      <c r="C97" s="66">
        <f>C95/C96</f>
        <v>3.6608863198458658E-2</v>
      </c>
      <c r="D97" s="66">
        <f>D95/D96</f>
        <v>3.6608863198458658E-2</v>
      </c>
    </row>
    <row r="98" spans="1:5">
      <c r="A98" s="88" t="s">
        <v>217</v>
      </c>
      <c r="B98" s="60">
        <f>'Valeurs de référence'!C21</f>
        <v>67236</v>
      </c>
      <c r="C98" s="60">
        <f>'Valeurs de référence'!D21</f>
        <v>67236</v>
      </c>
      <c r="D98" s="60">
        <f>'Valeurs de référence'!E21</f>
        <v>67236</v>
      </c>
    </row>
    <row r="99" spans="1:5" s="8" customFormat="1" ht="15" customHeight="1">
      <c r="A99" s="89" t="s">
        <v>203</v>
      </c>
      <c r="B99" s="68">
        <f>B98*B97</f>
        <v>2461.4335260115663</v>
      </c>
      <c r="C99" s="68">
        <f>C98*C97</f>
        <v>2461.4335260115663</v>
      </c>
      <c r="D99" s="68">
        <f>D98*D97</f>
        <v>2461.4335260115663</v>
      </c>
    </row>
    <row r="100" spans="1:5" s="58" customFormat="1">
      <c r="A100" s="105" t="s">
        <v>107</v>
      </c>
      <c r="B100" s="108"/>
      <c r="C100" s="108"/>
      <c r="D100" s="108"/>
    </row>
    <row r="101" spans="1:5">
      <c r="A101" s="87" t="s">
        <v>214</v>
      </c>
      <c r="B101" s="101">
        <f>'Plan d''occupation_1re année'!AN20</f>
        <v>0</v>
      </c>
      <c r="C101" s="101">
        <f>'Plan d''occupation_2e année'!AN20</f>
        <v>0</v>
      </c>
      <c r="D101" s="101">
        <f>'Plan d''occupation_3e année'!AN20</f>
        <v>0</v>
      </c>
    </row>
    <row r="102" spans="1:5" ht="25.5">
      <c r="A102" s="87" t="s">
        <v>199</v>
      </c>
      <c r="B102" s="325"/>
      <c r="C102" s="325"/>
      <c r="D102" s="325"/>
      <c r="E102" s="18"/>
    </row>
    <row r="103" spans="1:5" ht="25.5">
      <c r="A103" s="87" t="s">
        <v>196</v>
      </c>
      <c r="B103" s="71">
        <f>(B101+B102)*$B$7</f>
        <v>0</v>
      </c>
      <c r="C103" s="71">
        <f>(C101+C102)*$B$7</f>
        <v>0</v>
      </c>
      <c r="D103" s="71">
        <f>(D101+D102)*$B$7</f>
        <v>0</v>
      </c>
    </row>
    <row r="104" spans="1:5" s="4" customFormat="1">
      <c r="A104" s="88" t="s">
        <v>97</v>
      </c>
      <c r="B104" s="61">
        <f>IF(B101&gt;0,'Valeurs de référence'!C14,0)</f>
        <v>0</v>
      </c>
      <c r="C104" s="61">
        <f>IF(C101&gt;0,'Valeurs de référence'!D14,0)</f>
        <v>0</v>
      </c>
      <c r="D104" s="61">
        <f>IF(D101&gt;0,'Valeurs de référence'!E14,0)</f>
        <v>0</v>
      </c>
    </row>
    <row r="105" spans="1:5">
      <c r="A105" s="90" t="s">
        <v>95</v>
      </c>
      <c r="B105" s="116">
        <f>SUM(B103:B104)</f>
        <v>0</v>
      </c>
      <c r="C105" s="116">
        <f>SUM(C103:C104)</f>
        <v>0</v>
      </c>
      <c r="D105" s="116">
        <f>SUM(D103:D104)</f>
        <v>0</v>
      </c>
    </row>
    <row r="106" spans="1:5">
      <c r="A106" s="87" t="s">
        <v>195</v>
      </c>
      <c r="B106" s="62">
        <f>'Valeurs de référence'!C11</f>
        <v>1903</v>
      </c>
      <c r="C106" s="62">
        <f>'Valeurs de référence'!D11</f>
        <v>1903</v>
      </c>
      <c r="D106" s="62">
        <f>'Valeurs de référence'!E11</f>
        <v>1903</v>
      </c>
    </row>
    <row r="107" spans="1:5">
      <c r="A107" s="86" t="s">
        <v>98</v>
      </c>
      <c r="B107" s="66">
        <f>B105/B106</f>
        <v>0</v>
      </c>
      <c r="C107" s="66">
        <f>C105/C106</f>
        <v>0</v>
      </c>
      <c r="D107" s="66">
        <f>D105/D106</f>
        <v>0</v>
      </c>
    </row>
    <row r="108" spans="1:5">
      <c r="A108" s="88" t="s">
        <v>217</v>
      </c>
      <c r="B108" s="60">
        <f>'Valeurs de référence'!C21</f>
        <v>67236</v>
      </c>
      <c r="C108" s="60">
        <f>'Valeurs de référence'!D21</f>
        <v>67236</v>
      </c>
      <c r="D108" s="60">
        <f>'Valeurs de référence'!E21</f>
        <v>67236</v>
      </c>
    </row>
    <row r="109" spans="1:5" s="8" customFormat="1" ht="15" customHeight="1">
      <c r="A109" s="89" t="s">
        <v>162</v>
      </c>
      <c r="B109" s="68">
        <f>B108*B107</f>
        <v>0</v>
      </c>
      <c r="C109" s="68">
        <f>C108*C107</f>
        <v>0</v>
      </c>
      <c r="D109" s="68">
        <f>D108*D107</f>
        <v>0</v>
      </c>
    </row>
    <row r="110" spans="1:5" s="58" customFormat="1">
      <c r="A110" s="105" t="s">
        <v>108</v>
      </c>
      <c r="B110" s="108"/>
      <c r="C110" s="108"/>
      <c r="D110" s="108"/>
    </row>
    <row r="111" spans="1:5">
      <c r="A111" s="87" t="s">
        <v>214</v>
      </c>
      <c r="B111" s="101">
        <f>'Plan d''occupation_1re année'!AN21</f>
        <v>1.8333333333333375</v>
      </c>
      <c r="C111" s="101">
        <f>'Plan d''occupation_2e année'!AN21</f>
        <v>1.8333333333333375</v>
      </c>
      <c r="D111" s="101">
        <f>'Plan d''occupation_3e année'!AN21</f>
        <v>1.8333333333333375</v>
      </c>
    </row>
    <row r="112" spans="1:5" ht="25.5">
      <c r="A112" s="87" t="s">
        <v>199</v>
      </c>
      <c r="B112" s="325"/>
      <c r="C112" s="325"/>
      <c r="D112" s="325"/>
      <c r="E112" s="18"/>
    </row>
    <row r="113" spans="1:4" ht="25.5">
      <c r="A113" s="87" t="s">
        <v>196</v>
      </c>
      <c r="B113" s="71">
        <f>(B111+B112)*$B$7</f>
        <v>69.666666666666828</v>
      </c>
      <c r="C113" s="71">
        <f>(C111+C112)*$B$7</f>
        <v>69.666666666666828</v>
      </c>
      <c r="D113" s="71">
        <f>(D111+D112)*$B$7</f>
        <v>69.666666666666828</v>
      </c>
    </row>
    <row r="114" spans="1:4" s="4" customFormat="1">
      <c r="A114" s="88" t="s">
        <v>97</v>
      </c>
      <c r="B114" s="61">
        <f>IF(B111&gt;0,'Valeurs de référence'!C84,0)</f>
        <v>0</v>
      </c>
      <c r="C114" s="61">
        <f>IF(C111&gt;0,'Valeurs de référence'!D84,0)</f>
        <v>0</v>
      </c>
      <c r="D114" s="61">
        <f>IF(D111&gt;0,'Valeurs de référence'!E84,0)</f>
        <v>0</v>
      </c>
    </row>
    <row r="115" spans="1:4">
      <c r="A115" s="90" t="s">
        <v>95</v>
      </c>
      <c r="B115" s="116">
        <f>SUM(B113:B114)</f>
        <v>69.666666666666828</v>
      </c>
      <c r="C115" s="116">
        <f>SUM(C113:C114)</f>
        <v>69.666666666666828</v>
      </c>
      <c r="D115" s="116">
        <f>SUM(D113:D114)</f>
        <v>69.666666666666828</v>
      </c>
    </row>
    <row r="116" spans="1:4">
      <c r="A116" s="87" t="s">
        <v>195</v>
      </c>
      <c r="B116" s="62">
        <f>'Valeurs de référence'!C11</f>
        <v>1903</v>
      </c>
      <c r="C116" s="62">
        <f>'Valeurs de référence'!D11</f>
        <v>1903</v>
      </c>
      <c r="D116" s="62">
        <f>'Valeurs de référence'!E11</f>
        <v>1903</v>
      </c>
    </row>
    <row r="117" spans="1:4">
      <c r="A117" s="86" t="s">
        <v>98</v>
      </c>
      <c r="B117" s="66">
        <f>B115/B116</f>
        <v>3.6608863198458658E-2</v>
      </c>
      <c r="C117" s="66">
        <f>C115/C116</f>
        <v>3.6608863198458658E-2</v>
      </c>
      <c r="D117" s="66">
        <f>D115/D116</f>
        <v>3.6608863198458658E-2</v>
      </c>
    </row>
    <row r="118" spans="1:4">
      <c r="A118" s="88" t="s">
        <v>217</v>
      </c>
      <c r="B118" s="60">
        <f>'Valeurs de référence'!C21</f>
        <v>67236</v>
      </c>
      <c r="C118" s="60">
        <f>'Valeurs de référence'!D21</f>
        <v>67236</v>
      </c>
      <c r="D118" s="60">
        <f>'Valeurs de référence'!E21</f>
        <v>67236</v>
      </c>
    </row>
    <row r="119" spans="1:4" s="8" customFormat="1" ht="15" customHeight="1">
      <c r="A119" s="89" t="s">
        <v>163</v>
      </c>
      <c r="B119" s="68">
        <f>B118*B117</f>
        <v>2461.4335260115663</v>
      </c>
      <c r="C119" s="68">
        <f>C118*C117</f>
        <v>2461.4335260115663</v>
      </c>
      <c r="D119" s="68">
        <f>D118*D117</f>
        <v>2461.4335260115663</v>
      </c>
    </row>
    <row r="120" spans="1:4">
      <c r="A120" s="105" t="s">
        <v>109</v>
      </c>
      <c r="B120" s="108"/>
      <c r="C120" s="108"/>
      <c r="D120" s="108"/>
    </row>
    <row r="121" spans="1:4">
      <c r="A121" s="86" t="s">
        <v>154</v>
      </c>
      <c r="B121" s="326">
        <v>0.2</v>
      </c>
      <c r="C121" s="326">
        <v>0.2</v>
      </c>
      <c r="D121" s="326">
        <v>0.2</v>
      </c>
    </row>
    <row r="122" spans="1:4">
      <c r="A122" s="88" t="s">
        <v>218</v>
      </c>
      <c r="B122" s="327">
        <v>10530</v>
      </c>
      <c r="C122" s="327">
        <v>13130</v>
      </c>
      <c r="D122" s="327">
        <v>17350</v>
      </c>
    </row>
    <row r="123" spans="1:4">
      <c r="A123" s="91" t="s">
        <v>164</v>
      </c>
      <c r="B123" s="97">
        <f>B122*B121</f>
        <v>2106</v>
      </c>
      <c r="C123" s="97">
        <f>C122*C121</f>
        <v>2626</v>
      </c>
      <c r="D123" s="97">
        <f>D122*D121</f>
        <v>3470</v>
      </c>
    </row>
    <row r="124" spans="1:4">
      <c r="A124" s="105" t="s">
        <v>204</v>
      </c>
      <c r="B124" s="108"/>
      <c r="C124" s="108"/>
      <c r="D124" s="108"/>
    </row>
    <row r="125" spans="1:4">
      <c r="A125" s="87" t="s">
        <v>110</v>
      </c>
      <c r="B125" s="101">
        <f>'Valeurs de référence'!C31</f>
        <v>0</v>
      </c>
      <c r="C125" s="101">
        <f>'Valeurs de référence'!D31</f>
        <v>0</v>
      </c>
      <c r="D125" s="101">
        <f>'Valeurs de référence'!E31</f>
        <v>0</v>
      </c>
    </row>
    <row r="126" spans="1:4">
      <c r="A126" s="86" t="s">
        <v>111</v>
      </c>
      <c r="B126" s="61">
        <f>'Valeurs de référence'!C31*'Valeurs de référence'!C7*'Valeurs de référence'!C8</f>
        <v>0</v>
      </c>
      <c r="C126" s="61">
        <f>'Valeurs de référence'!D31*'Valeurs de référence'!D7*'Valeurs de référence'!D8</f>
        <v>0</v>
      </c>
      <c r="D126" s="61">
        <f>'Valeurs de référence'!E31*'Valeurs de référence'!E7*'Valeurs de référence'!E8</f>
        <v>0</v>
      </c>
    </row>
    <row r="127" spans="1:4">
      <c r="A127" s="87" t="s">
        <v>96</v>
      </c>
      <c r="B127" s="62">
        <f>'Valeurs de référence'!C11</f>
        <v>1903</v>
      </c>
      <c r="C127" s="62">
        <f>'Valeurs de référence'!D11</f>
        <v>1903</v>
      </c>
      <c r="D127" s="62">
        <f>'Valeurs de référence'!E11</f>
        <v>1903</v>
      </c>
    </row>
    <row r="128" spans="1:4">
      <c r="A128" s="86" t="s">
        <v>154</v>
      </c>
      <c r="B128" s="66">
        <f>B126/B127</f>
        <v>0</v>
      </c>
      <c r="C128" s="66">
        <f>C126/C127</f>
        <v>0</v>
      </c>
      <c r="D128" s="66">
        <f>D126/D127</f>
        <v>0</v>
      </c>
    </row>
    <row r="129" spans="1:4">
      <c r="A129" s="88" t="s">
        <v>217</v>
      </c>
      <c r="B129" s="60">
        <f>'Valeurs de référence'!C23</f>
        <v>63130</v>
      </c>
      <c r="C129" s="60">
        <f>'Valeurs de référence'!D23</f>
        <v>63130</v>
      </c>
      <c r="D129" s="60">
        <f>'Valeurs de référence'!E23</f>
        <v>63130</v>
      </c>
    </row>
    <row r="130" spans="1:4">
      <c r="A130" s="91" t="s">
        <v>165</v>
      </c>
      <c r="B130" s="60">
        <f>B128*B129</f>
        <v>0</v>
      </c>
      <c r="C130" s="60">
        <f>C128*C129</f>
        <v>0</v>
      </c>
      <c r="D130" s="60">
        <f>D128*D129</f>
        <v>0</v>
      </c>
    </row>
  </sheetData>
  <sheetProtection password="CCBC" sheet="1"/>
  <customSheetViews>
    <customSheetView guid="{48BF2AC7-6055-432C-8BF0-71FB56F968AB}" scale="130" showGridLines="0" fitToPage="1">
      <pageMargins left="0.98425196850393704" right="0.59055118110236227" top="0.78740157480314965" bottom="0.59055118110236227" header="0.51181102362204722" footer="0.51181102362204722"/>
      <pageSetup paperSize="9" scale="81" fitToHeight="2" orientation="portrait" r:id="rId1"/>
      <headerFooter alignWithMargins="0"/>
    </customSheetView>
  </customSheetViews>
  <phoneticPr fontId="2" type="noConversion"/>
  <pageMargins left="0.98425196850393704" right="0.59055118110236227" top="0.78740157480314965" bottom="0.59055118110236227" header="0.51181102362204722" footer="0.51181102362204722"/>
  <pageSetup paperSize="9" scale="70" fitToHeight="2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D44"/>
  <sheetViews>
    <sheetView showGridLines="0" zoomScale="150" workbookViewId="0">
      <selection activeCell="C8" sqref="C8"/>
    </sheetView>
  </sheetViews>
  <sheetFormatPr baseColWidth="10" defaultColWidth="10.85546875" defaultRowHeight="12.75"/>
  <cols>
    <col min="1" max="1" width="44.140625" style="10" customWidth="1"/>
    <col min="2" max="2" width="9.28515625" style="2" bestFit="1" customWidth="1"/>
    <col min="3" max="3" width="8.85546875" style="20" customWidth="1"/>
    <col min="4" max="4" width="8.85546875" style="9" customWidth="1"/>
    <col min="5" max="5" width="7.85546875" style="2" customWidth="1"/>
    <col min="6" max="6" width="6.85546875" style="2" customWidth="1"/>
    <col min="7" max="7" width="6" style="2" customWidth="1"/>
    <col min="8" max="8" width="4.42578125" style="2" customWidth="1"/>
    <col min="9" max="10" width="10.85546875" style="2" customWidth="1"/>
    <col min="11" max="16384" width="10.85546875" style="2"/>
  </cols>
  <sheetData>
    <row r="1" spans="1:4">
      <c r="A1" s="4" t="str">
        <f>'Valeurs de référence'!A1</f>
        <v>Calcul des frais d'exploitation d'une école à journée continue dans le canton de Berne</v>
      </c>
      <c r="D1" s="5"/>
    </row>
    <row r="2" spans="1:4">
      <c r="A2" s="4"/>
    </row>
    <row r="3" spans="1:4" s="3" customFormat="1">
      <c r="A3" s="32"/>
      <c r="C3" s="21"/>
      <c r="D3" s="19"/>
    </row>
    <row r="4" spans="1:4" s="3" customFormat="1" ht="15.75">
      <c r="A4" s="134" t="s">
        <v>112</v>
      </c>
      <c r="C4" s="21"/>
      <c r="D4" s="19"/>
    </row>
    <row r="5" spans="1:4" s="3" customFormat="1">
      <c r="A5" s="32"/>
      <c r="C5" s="21"/>
      <c r="D5" s="19"/>
    </row>
    <row r="6" spans="1:4" s="3" customFormat="1">
      <c r="A6" s="32"/>
      <c r="C6" s="21"/>
      <c r="D6" s="19"/>
    </row>
    <row r="7" spans="1:4" s="3" customFormat="1" ht="21" customHeight="1">
      <c r="A7" s="32" t="s">
        <v>70</v>
      </c>
      <c r="B7" s="102" t="s">
        <v>113</v>
      </c>
      <c r="C7" s="103" t="s">
        <v>114</v>
      </c>
      <c r="D7" s="103" t="s">
        <v>33</v>
      </c>
    </row>
    <row r="8" spans="1:4" s="11" customFormat="1" ht="21" customHeight="1">
      <c r="A8" s="92" t="s">
        <v>115</v>
      </c>
      <c r="B8" s="69">
        <f>'Plan d''occupation_1re année'!AN27</f>
        <v>110.50000000000001</v>
      </c>
      <c r="C8" s="69">
        <f>'Plan d''occupation_2e année'!AN27</f>
        <v>110.50000000000001</v>
      </c>
      <c r="D8" s="69">
        <f>'Plan d''occupation_3e année'!AN27</f>
        <v>110.50000000000001</v>
      </c>
    </row>
    <row r="9" spans="1:4" s="11" customFormat="1" ht="21" customHeight="1">
      <c r="A9" s="93" t="s">
        <v>116</v>
      </c>
      <c r="B9" s="62">
        <f>'Valeurs de référence'!C7</f>
        <v>38</v>
      </c>
      <c r="C9" s="62">
        <f>'Valeurs de référence'!D7</f>
        <v>38</v>
      </c>
      <c r="D9" s="62">
        <f>'Valeurs de référence'!E7</f>
        <v>38</v>
      </c>
    </row>
    <row r="10" spans="1:4" s="11" customFormat="1" ht="21" customHeight="1">
      <c r="A10" s="94" t="s">
        <v>94</v>
      </c>
      <c r="B10" s="60">
        <f>B8*B9</f>
        <v>4199.0000000000009</v>
      </c>
      <c r="C10" s="60">
        <f>C8*C9</f>
        <v>4199.0000000000009</v>
      </c>
      <c r="D10" s="60">
        <f>D8*D9</f>
        <v>4199.0000000000009</v>
      </c>
    </row>
    <row r="11" spans="1:4" s="11" customFormat="1" ht="21" customHeight="1">
      <c r="A11" s="14"/>
      <c r="B11" s="14"/>
      <c r="C11" s="14"/>
      <c r="D11" s="14"/>
    </row>
    <row r="12" spans="1:4" ht="21" customHeight="1">
      <c r="A12" s="4"/>
      <c r="C12" s="2"/>
      <c r="D12" s="2"/>
    </row>
    <row r="13" spans="1:4" s="11" customFormat="1" ht="21" customHeight="1">
      <c r="A13" s="28"/>
      <c r="B13" s="14"/>
      <c r="C13" s="14"/>
      <c r="D13" s="14"/>
    </row>
    <row r="14" spans="1:4">
      <c r="A14" s="30" t="s">
        <v>117</v>
      </c>
      <c r="B14" s="31"/>
      <c r="C14" s="31"/>
      <c r="D14" s="31"/>
    </row>
    <row r="15" spans="1:4" ht="33.75" customHeight="1">
      <c r="A15" s="10" t="s">
        <v>118</v>
      </c>
      <c r="B15" s="70">
        <f>'Plan d''occupation_1re année'!AN25</f>
        <v>0.61538461538461531</v>
      </c>
      <c r="C15" s="140">
        <f>'Plan d''occupation_2e année'!AN25</f>
        <v>0.61538461538461531</v>
      </c>
      <c r="D15" s="140">
        <f>'Plan d''occupation_3e année'!AN25</f>
        <v>0.61538461538461531</v>
      </c>
    </row>
    <row r="16" spans="1:4" ht="24.75" customHeight="1">
      <c r="A16" s="10" t="s">
        <v>166</v>
      </c>
      <c r="B16" s="184">
        <f>IF(B15&gt;=0.5,'Valeurs de référence'!C49,'Valeurs de référence'!C50)</f>
        <v>10.98</v>
      </c>
      <c r="C16" s="184">
        <f>IF(C15&gt;=0.5,'Valeurs de référence'!D49,'Valeurs de référence'!D50)</f>
        <v>10.98</v>
      </c>
      <c r="D16" s="184">
        <f>IF(D15&gt;=0.5,'Valeurs de référence'!E49,'Valeurs de référence'!E50)</f>
        <v>10.98</v>
      </c>
    </row>
    <row r="17" spans="1:4" s="12" customFormat="1" ht="24.75" customHeight="1">
      <c r="A17" s="135" t="s">
        <v>117</v>
      </c>
      <c r="B17" s="183">
        <f>B10*B16</f>
        <v>46105.020000000011</v>
      </c>
      <c r="C17" s="112">
        <f>C10*C16</f>
        <v>46105.020000000011</v>
      </c>
      <c r="D17" s="112">
        <f>D10*D16</f>
        <v>46105.020000000011</v>
      </c>
    </row>
    <row r="18" spans="1:4" s="16" customFormat="1" ht="12" customHeight="1">
      <c r="A18" s="33"/>
      <c r="B18" s="34"/>
      <c r="C18" s="34"/>
      <c r="D18" s="34"/>
    </row>
    <row r="19" spans="1:4" ht="12" customHeight="1">
      <c r="A19" s="24"/>
      <c r="C19" s="2"/>
      <c r="D19" s="2"/>
    </row>
    <row r="20" spans="1:4" ht="12" customHeight="1">
      <c r="A20" s="4"/>
      <c r="C20" s="2"/>
      <c r="D20" s="2"/>
    </row>
    <row r="21" spans="1:4">
      <c r="A21" s="4"/>
      <c r="C21" s="2"/>
      <c r="D21" s="2"/>
    </row>
    <row r="22" spans="1:4">
      <c r="A22" s="4"/>
      <c r="C22" s="2"/>
      <c r="D22" s="2"/>
    </row>
    <row r="23" spans="1:4">
      <c r="A23" s="4"/>
      <c r="C23" s="2"/>
      <c r="D23" s="2"/>
    </row>
    <row r="24" spans="1:4">
      <c r="A24" s="4"/>
      <c r="C24" s="2"/>
      <c r="D24" s="2"/>
    </row>
    <row r="25" spans="1:4">
      <c r="A25" s="4"/>
      <c r="C25" s="2"/>
      <c r="D25" s="2"/>
    </row>
    <row r="26" spans="1:4">
      <c r="A26" s="4"/>
      <c r="C26" s="2"/>
      <c r="D26" s="2"/>
    </row>
    <row r="27" spans="1:4">
      <c r="A27" s="4"/>
      <c r="C27" s="2"/>
      <c r="D27" s="2"/>
    </row>
    <row r="28" spans="1:4">
      <c r="A28" s="4"/>
      <c r="C28" s="2"/>
      <c r="D28" s="2"/>
    </row>
    <row r="29" spans="1:4">
      <c r="A29" s="4"/>
      <c r="C29" s="2"/>
      <c r="D29" s="2"/>
    </row>
    <row r="30" spans="1:4">
      <c r="A30" s="4"/>
      <c r="C30" s="2"/>
      <c r="D30" s="2"/>
    </row>
    <row r="31" spans="1:4">
      <c r="A31" s="4"/>
      <c r="C31" s="2"/>
      <c r="D31" s="2"/>
    </row>
    <row r="32" spans="1:4">
      <c r="A32" s="4"/>
      <c r="C32" s="2"/>
      <c r="D32" s="2"/>
    </row>
    <row r="33" spans="1:4">
      <c r="A33" s="4"/>
      <c r="C33" s="2"/>
      <c r="D33" s="2"/>
    </row>
    <row r="34" spans="1:4">
      <c r="A34" s="4"/>
      <c r="C34" s="2"/>
      <c r="D34" s="2"/>
    </row>
    <row r="35" spans="1:4">
      <c r="A35" s="4"/>
      <c r="C35" s="2"/>
      <c r="D35" s="2"/>
    </row>
    <row r="36" spans="1:4">
      <c r="A36" s="4"/>
      <c r="C36" s="2"/>
      <c r="D36" s="2"/>
    </row>
    <row r="37" spans="1:4">
      <c r="A37" s="4"/>
      <c r="C37" s="2"/>
      <c r="D37" s="2"/>
    </row>
    <row r="38" spans="1:4">
      <c r="A38" s="4"/>
      <c r="C38" s="2"/>
      <c r="D38" s="2"/>
    </row>
    <row r="39" spans="1:4">
      <c r="A39" s="4"/>
      <c r="C39" s="2"/>
      <c r="D39" s="2"/>
    </row>
    <row r="40" spans="1:4">
      <c r="A40" s="4"/>
      <c r="C40" s="2"/>
      <c r="D40" s="2"/>
    </row>
    <row r="41" spans="1:4">
      <c r="A41" s="4"/>
      <c r="C41" s="2"/>
      <c r="D41" s="2"/>
    </row>
    <row r="42" spans="1:4">
      <c r="A42" s="4"/>
      <c r="C42" s="2"/>
      <c r="D42" s="2"/>
    </row>
    <row r="43" spans="1:4">
      <c r="A43" s="4"/>
      <c r="C43" s="2"/>
      <c r="D43" s="2"/>
    </row>
    <row r="44" spans="1:4">
      <c r="A44" s="4"/>
      <c r="C44" s="2"/>
      <c r="D44" s="2"/>
    </row>
  </sheetData>
  <sheetProtection password="CCBC" sheet="1"/>
  <customSheetViews>
    <customSheetView guid="{48BF2AC7-6055-432C-8BF0-71FB56F968AB}" scale="150" showGridLines="0" fitToPage="1">
      <pageMargins left="0.98425196850393704" right="0.59055118110236227" top="0.78740157480314965" bottom="0.59055118110236227" header="0.51181102362204722" footer="0.51181102362204722"/>
      <pageSetup paperSize="9" orientation="portrait" r:id="rId1"/>
      <headerFooter alignWithMargins="0"/>
    </customSheetView>
  </customSheetViews>
  <phoneticPr fontId="2"/>
  <pageMargins left="0.98425196850393704" right="0.59055118110236227" top="0.78740157480314965" bottom="0.59055118110236227" header="0.51181102362204722" footer="0.51181102362204722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E68"/>
  <sheetViews>
    <sheetView showGridLines="0" zoomScale="150" workbookViewId="0">
      <selection activeCell="A36" sqref="A36"/>
    </sheetView>
  </sheetViews>
  <sheetFormatPr baseColWidth="10" defaultColWidth="10.85546875" defaultRowHeight="12.75"/>
  <cols>
    <col min="1" max="1" width="54.5703125" style="10" customWidth="1"/>
    <col min="2" max="3" width="11.42578125" style="2" customWidth="1"/>
    <col min="4" max="4" width="11.42578125" style="20" customWidth="1"/>
    <col min="5" max="5" width="31.85546875" style="9" bestFit="1" customWidth="1"/>
    <col min="6" max="6" width="24.28515625" style="2" customWidth="1"/>
    <col min="7" max="16384" width="10.85546875" style="2"/>
  </cols>
  <sheetData>
    <row r="1" spans="1:5">
      <c r="A1" s="4" t="str">
        <f>'Valeurs de référence'!A1</f>
        <v>Calcul des frais d'exploitation d'une école à journée continue dans le canton de Berne</v>
      </c>
    </row>
    <row r="3" spans="1:5" ht="15.75">
      <c r="A3" s="107" t="s">
        <v>27</v>
      </c>
    </row>
    <row r="4" spans="1:5" s="6" customFormat="1" ht="19.5" customHeight="1">
      <c r="A4" s="79" t="s">
        <v>119</v>
      </c>
      <c r="B4" s="104" t="s">
        <v>31</v>
      </c>
      <c r="C4" s="104" t="s">
        <v>120</v>
      </c>
      <c r="D4" s="104" t="s">
        <v>33</v>
      </c>
      <c r="E4" s="10"/>
    </row>
    <row r="5" spans="1:5" s="6" customFormat="1">
      <c r="A5" s="10" t="s">
        <v>121</v>
      </c>
      <c r="B5" s="72">
        <f>'Valeurs de référence'!C7*'Valeurs de référence'!C8</f>
        <v>0</v>
      </c>
      <c r="C5" s="72">
        <f>'Valeurs de référence'!D7*'Valeurs de référence'!D8</f>
        <v>0</v>
      </c>
      <c r="D5" s="72">
        <f>'Valeurs de référence'!E7*'Valeurs de référence'!E8</f>
        <v>0</v>
      </c>
      <c r="E5" s="10"/>
    </row>
    <row r="6" spans="1:5" s="11" customFormat="1" ht="25.7" customHeight="1">
      <c r="A6" s="136" t="s">
        <v>123</v>
      </c>
      <c r="B6" s="62">
        <f>'Plan d''occupation_1re année'!$AN$28+'Plan d''occupation_1re année'!$AN$29</f>
        <v>29</v>
      </c>
      <c r="C6" s="62">
        <f>'Plan d''occupation_2e année'!$AN$28+'Plan d''occupation_2e année'!$AN$29</f>
        <v>29</v>
      </c>
      <c r="D6" s="62">
        <f>'Plan d''occupation_3e année'!$AN$28+'Plan d''occupation_3e année'!$AN$29</f>
        <v>29</v>
      </c>
      <c r="E6" s="18"/>
    </row>
    <row r="7" spans="1:5" s="11" customFormat="1" ht="25.7" customHeight="1">
      <c r="A7" s="136" t="s">
        <v>122</v>
      </c>
      <c r="B7" s="64">
        <f>B6*'Valeurs de référence'!C7</f>
        <v>1102</v>
      </c>
      <c r="C7" s="64">
        <f>C6*'Valeurs de référence'!D7</f>
        <v>1102</v>
      </c>
      <c r="D7" s="64">
        <f>D6*'Valeurs de référence'!E7</f>
        <v>1102</v>
      </c>
      <c r="E7" s="18"/>
    </row>
    <row r="8" spans="1:5" s="11" customFormat="1">
      <c r="A8" s="94" t="s">
        <v>124</v>
      </c>
      <c r="B8" s="60">
        <f>'Contr. canton et parents  '!B10</f>
        <v>4199.0000000000009</v>
      </c>
      <c r="C8" s="60">
        <f>'Contr. canton et parents  '!C10</f>
        <v>4199.0000000000009</v>
      </c>
      <c r="D8" s="60">
        <f>'Contr. canton et parents  '!D10</f>
        <v>4199.0000000000009</v>
      </c>
      <c r="E8" s="18"/>
    </row>
    <row r="9" spans="1:5" s="14" customFormat="1">
      <c r="B9" s="13"/>
      <c r="C9" s="13"/>
      <c r="D9" s="13"/>
      <c r="E9" s="18"/>
    </row>
    <row r="10" spans="1:5" ht="16.5" customHeight="1">
      <c r="A10" s="30" t="s">
        <v>125</v>
      </c>
      <c r="B10" s="129"/>
      <c r="C10" s="129"/>
      <c r="D10" s="129"/>
    </row>
    <row r="11" spans="1:5">
      <c r="A11" s="10" t="s">
        <v>167</v>
      </c>
      <c r="B11" s="64">
        <f>'Temps de travail et traitements'!B11</f>
        <v>0</v>
      </c>
      <c r="C11" s="64">
        <f>'Temps de travail et traitements'!C11</f>
        <v>0</v>
      </c>
      <c r="D11" s="64">
        <f>'Temps de travail et traitements'!D11</f>
        <v>0</v>
      </c>
    </row>
    <row r="12" spans="1:5" ht="13.5" customHeight="1">
      <c r="A12" s="10" t="s">
        <v>205</v>
      </c>
      <c r="B12" s="64">
        <f>'Temps de travail et traitements'!B19</f>
        <v>21298</v>
      </c>
      <c r="C12" s="64">
        <f>'Temps de travail et traitements'!C19</f>
        <v>21298</v>
      </c>
      <c r="D12" s="64">
        <f>'Temps de travail et traitements'!D19</f>
        <v>21298</v>
      </c>
    </row>
    <row r="13" spans="1:5">
      <c r="A13" s="10" t="s">
        <v>168</v>
      </c>
      <c r="B13" s="64">
        <f>'Temps de travail et traitements'!B29</f>
        <v>2061</v>
      </c>
      <c r="C13" s="64">
        <f>'Temps de travail et traitements'!C29</f>
        <v>2061</v>
      </c>
      <c r="D13" s="64">
        <f>'Temps de travail et traitements'!D29</f>
        <v>2061</v>
      </c>
    </row>
    <row r="14" spans="1:5">
      <c r="A14" s="10" t="s">
        <v>169</v>
      </c>
      <c r="B14" s="64">
        <f>'Temps de travail et traitements'!B39</f>
        <v>6870.2189525310914</v>
      </c>
      <c r="C14" s="64">
        <f>'Temps de travail et traitements'!C39</f>
        <v>6870.2189525310914</v>
      </c>
      <c r="D14" s="64">
        <f>'Temps de travail et traitements'!D39</f>
        <v>6870.2189525310914</v>
      </c>
    </row>
    <row r="15" spans="1:5">
      <c r="A15" s="10" t="s">
        <v>170</v>
      </c>
      <c r="B15" s="64">
        <f>'Temps de travail et traitements'!B49</f>
        <v>0</v>
      </c>
      <c r="C15" s="64">
        <f>'Temps de travail et traitements'!C49</f>
        <v>0</v>
      </c>
      <c r="D15" s="64">
        <f>'Temps de travail et traitements'!D49</f>
        <v>0</v>
      </c>
    </row>
    <row r="16" spans="1:5">
      <c r="A16" s="10" t="s">
        <v>171</v>
      </c>
      <c r="B16" s="64">
        <f>'Temps de travail et traitements'!B59</f>
        <v>0</v>
      </c>
      <c r="C16" s="64">
        <f>'Temps de travail et traitements'!C59</f>
        <v>0</v>
      </c>
      <c r="D16" s="64">
        <f>'Temps de travail et traitements'!D59</f>
        <v>0</v>
      </c>
    </row>
    <row r="17" spans="1:5">
      <c r="A17" s="10" t="s">
        <v>172</v>
      </c>
      <c r="B17" s="64">
        <f>'Temps de travail et traitements'!B69</f>
        <v>0</v>
      </c>
      <c r="C17" s="64">
        <f>'Temps de travail et traitements'!C69</f>
        <v>0</v>
      </c>
      <c r="D17" s="64">
        <f>'Temps de travail et traitements'!D69</f>
        <v>0</v>
      </c>
    </row>
    <row r="18" spans="1:5">
      <c r="A18" s="10" t="s">
        <v>173</v>
      </c>
      <c r="B18" s="64">
        <f>'Temps de travail et traitements'!B79</f>
        <v>3692.1502890173406</v>
      </c>
      <c r="C18" s="64">
        <f>'Temps de travail et traitements'!C79</f>
        <v>3692.1502890173406</v>
      </c>
      <c r="D18" s="64">
        <f>'Temps de travail et traitements'!D79</f>
        <v>3692.1502890173406</v>
      </c>
    </row>
    <row r="19" spans="1:5">
      <c r="A19" s="10" t="s">
        <v>174</v>
      </c>
      <c r="B19" s="64">
        <f>'Temps de travail et traitements'!B89</f>
        <v>3692.1502890173406</v>
      </c>
      <c r="C19" s="64">
        <f>'Temps de travail et traitements'!C89</f>
        <v>3692.1502890173406</v>
      </c>
      <c r="D19" s="64">
        <f>'Temps de travail et traitements'!D89</f>
        <v>3692.1502890173406</v>
      </c>
    </row>
    <row r="20" spans="1:5">
      <c r="A20" s="10" t="s">
        <v>175</v>
      </c>
      <c r="B20" s="64">
        <f>'Temps de travail et traitements'!B99</f>
        <v>2461.4335260115663</v>
      </c>
      <c r="C20" s="64">
        <f>'Temps de travail et traitements'!C99</f>
        <v>2461.4335260115663</v>
      </c>
      <c r="D20" s="64">
        <f>'Temps de travail et traitements'!D99</f>
        <v>2461.4335260115663</v>
      </c>
    </row>
    <row r="21" spans="1:5">
      <c r="A21" s="10" t="s">
        <v>176</v>
      </c>
      <c r="B21" s="64">
        <f>'Temps de travail et traitements'!B109</f>
        <v>0</v>
      </c>
      <c r="C21" s="64">
        <f>'Temps de travail et traitements'!C109</f>
        <v>0</v>
      </c>
      <c r="D21" s="64">
        <f>'Temps de travail et traitements'!D109</f>
        <v>0</v>
      </c>
    </row>
    <row r="22" spans="1:5">
      <c r="A22" s="10" t="s">
        <v>177</v>
      </c>
      <c r="B22" s="64">
        <f>'Temps de travail et traitements'!B119</f>
        <v>2461.4335260115663</v>
      </c>
      <c r="C22" s="64">
        <f>'Temps de travail et traitements'!C119</f>
        <v>2461.4335260115663</v>
      </c>
      <c r="D22" s="64">
        <f>'Temps de travail et traitements'!D119</f>
        <v>2461.4335260115663</v>
      </c>
    </row>
    <row r="23" spans="1:5" s="4" customFormat="1">
      <c r="A23" s="10" t="s">
        <v>164</v>
      </c>
      <c r="B23" s="64">
        <v>4800</v>
      </c>
      <c r="C23" s="64">
        <v>4800</v>
      </c>
      <c r="D23" s="64">
        <v>4800</v>
      </c>
      <c r="E23" s="9"/>
    </row>
    <row r="24" spans="1:5" s="12" customFormat="1">
      <c r="A24" s="26" t="s">
        <v>178</v>
      </c>
      <c r="B24" s="37">
        <f>SUM(B11:B23)</f>
        <v>47336.386582588915</v>
      </c>
      <c r="C24" s="37">
        <f>SUM(C11:C23)</f>
        <v>47336.386582588915</v>
      </c>
      <c r="D24" s="37">
        <f>SUM(D11:D23)</f>
        <v>47336.386582588915</v>
      </c>
      <c r="E24" s="16"/>
    </row>
    <row r="25" spans="1:5" s="12" customFormat="1">
      <c r="A25" s="26" t="s">
        <v>126</v>
      </c>
      <c r="B25" s="37">
        <f>B24*'Valeurs de référence'!C24</f>
        <v>8709.895131196361</v>
      </c>
      <c r="C25" s="37">
        <f>C24*'Valeurs de référence'!D24</f>
        <v>8709.895131196361</v>
      </c>
      <c r="D25" s="37">
        <f>D24*'Valeurs de référence'!E24</f>
        <v>8709.895131196361</v>
      </c>
      <c r="E25" s="16"/>
    </row>
    <row r="26" spans="1:5" s="12" customFormat="1">
      <c r="A26" s="26" t="s">
        <v>127</v>
      </c>
      <c r="B26" s="37">
        <f>'Valeurs de référence'!C15*B24</f>
        <v>1044.7337028211953</v>
      </c>
      <c r="C26" s="37">
        <f>'Valeurs de référence'!D15*C24</f>
        <v>1044.7337028211953</v>
      </c>
      <c r="D26" s="37">
        <f>'Valeurs de référence'!E15*D24</f>
        <v>1044.7337028211953</v>
      </c>
      <c r="E26" s="16"/>
    </row>
    <row r="27" spans="1:5" s="12" customFormat="1">
      <c r="A27" s="26" t="s">
        <v>128</v>
      </c>
      <c r="B27" s="37">
        <f>'Valeurs de référence'!C16*B24</f>
        <v>4733.6386582588921</v>
      </c>
      <c r="C27" s="37">
        <f>'Valeurs de référence'!D16*C24</f>
        <v>4733.6386582588921</v>
      </c>
      <c r="D27" s="37">
        <f>'Valeurs de référence'!E16*D24</f>
        <v>4733.6386582588921</v>
      </c>
      <c r="E27" s="16"/>
    </row>
    <row r="28" spans="1:5" s="8" customFormat="1" ht="18" customHeight="1">
      <c r="A28" s="137" t="s">
        <v>129</v>
      </c>
      <c r="B28" s="76">
        <f>SUM(B24:B27)</f>
        <v>61824.654074865364</v>
      </c>
      <c r="C28" s="76">
        <f>SUM(C24:C27)</f>
        <v>61824.654074865364</v>
      </c>
      <c r="D28" s="76">
        <f>SUM(D24:D27)</f>
        <v>61824.654074865364</v>
      </c>
      <c r="E28" s="75"/>
    </row>
    <row r="29" spans="1:5" s="8" customFormat="1" ht="12.75" customHeight="1">
      <c r="A29" s="119"/>
      <c r="B29" s="120"/>
      <c r="C29" s="120"/>
      <c r="D29" s="120"/>
      <c r="E29" s="75"/>
    </row>
    <row r="30" spans="1:5" s="8" customFormat="1" ht="12.75" customHeight="1">
      <c r="A30" s="27" t="s">
        <v>47</v>
      </c>
      <c r="B30" s="130"/>
      <c r="C30" s="130"/>
      <c r="D30" s="130"/>
      <c r="E30" s="75"/>
    </row>
    <row r="31" spans="1:5" s="8" customFormat="1" ht="12.75" customHeight="1">
      <c r="A31" s="125" t="s">
        <v>48</v>
      </c>
      <c r="B31" s="122">
        <f>'Valeurs de référence'!C39</f>
        <v>0</v>
      </c>
      <c r="C31" s="122">
        <f>'Valeurs de référence'!D39</f>
        <v>0</v>
      </c>
      <c r="D31" s="122">
        <f>'Valeurs de référence'!E39</f>
        <v>0</v>
      </c>
      <c r="E31" s="75"/>
    </row>
    <row r="32" spans="1:5" s="8" customFormat="1" ht="12.75" customHeight="1">
      <c r="A32" s="125" t="s">
        <v>179</v>
      </c>
      <c r="B32" s="122">
        <f>'Valeurs de référence'!C40</f>
        <v>0</v>
      </c>
      <c r="C32" s="122">
        <f>'Valeurs de référence'!D40</f>
        <v>0</v>
      </c>
      <c r="D32" s="122">
        <f>'Valeurs de référence'!E40</f>
        <v>0</v>
      </c>
      <c r="E32" s="75"/>
    </row>
    <row r="33" spans="1:5" s="8" customFormat="1" ht="16.5" customHeight="1">
      <c r="A33" s="91" t="s">
        <v>130</v>
      </c>
      <c r="B33" s="121">
        <f>SUM(B31:B32)</f>
        <v>0</v>
      </c>
      <c r="C33" s="121">
        <f>SUM(C31:C32)</f>
        <v>0</v>
      </c>
      <c r="D33" s="121">
        <f>SUM(D31:D32)</f>
        <v>0</v>
      </c>
      <c r="E33" s="75"/>
    </row>
    <row r="34" spans="1:5">
      <c r="D34" s="2"/>
    </row>
    <row r="35" spans="1:5" s="12" customFormat="1">
      <c r="A35" s="131" t="s">
        <v>131</v>
      </c>
      <c r="B35" s="40"/>
      <c r="C35" s="40"/>
      <c r="D35" s="40"/>
      <c r="E35" s="16"/>
    </row>
    <row r="36" spans="1:5" s="12" customFormat="1">
      <c r="A36" s="26" t="s">
        <v>210</v>
      </c>
      <c r="B36" s="99">
        <f>'Valeurs de référence'!C46*'Valeurs de référence'!C7*'Valeurs de référence'!C8</f>
        <v>0</v>
      </c>
      <c r="C36" s="99">
        <f>'Valeurs de référence'!D46*'Valeurs de référence'!D7*'Valeurs de référence'!D8</f>
        <v>0</v>
      </c>
      <c r="D36" s="99">
        <f>'Valeurs de référence'!E46*'Valeurs de référence'!E7*'Valeurs de référence'!E8</f>
        <v>0</v>
      </c>
      <c r="E36" s="17"/>
    </row>
    <row r="37" spans="1:5" s="12" customFormat="1" ht="24.95" customHeight="1">
      <c r="A37" s="26" t="s">
        <v>206</v>
      </c>
      <c r="B37" s="37">
        <f>'Valeurs de référence'!C45*Budget!B28</f>
        <v>0</v>
      </c>
      <c r="C37" s="37">
        <f>'Valeurs de référence'!D45*Budget!C28</f>
        <v>0</v>
      </c>
      <c r="D37" s="37">
        <f>'Valeurs de référence'!E45*Budget!D28</f>
        <v>0</v>
      </c>
      <c r="E37" s="17"/>
    </row>
    <row r="38" spans="1:5" s="8" customFormat="1" ht="16.5" customHeight="1">
      <c r="A38" s="137" t="s">
        <v>132</v>
      </c>
      <c r="B38" s="76">
        <f>SUM(B36:B37)</f>
        <v>0</v>
      </c>
      <c r="C38" s="76">
        <f>SUM(C36:C37)</f>
        <v>0</v>
      </c>
      <c r="D38" s="76">
        <f>SUM(D36:D37)</f>
        <v>0</v>
      </c>
      <c r="E38" s="75"/>
    </row>
    <row r="39" spans="1:5" s="16" customFormat="1">
      <c r="A39" s="26"/>
    </row>
    <row r="40" spans="1:5" s="8" customFormat="1" ht="18" customHeight="1">
      <c r="A40" s="118" t="s">
        <v>133</v>
      </c>
      <c r="B40" s="74">
        <f>B28+B38+B33</f>
        <v>61824.654074865364</v>
      </c>
      <c r="C40" s="74">
        <f>C28+C38+C33</f>
        <v>61824.654074865364</v>
      </c>
      <c r="D40" s="74">
        <f>D28+D38+D33</f>
        <v>61824.654074865364</v>
      </c>
      <c r="E40" s="75"/>
    </row>
    <row r="41" spans="1:5">
      <c r="B41" s="4"/>
      <c r="C41" s="4"/>
      <c r="D41" s="4"/>
    </row>
    <row r="42" spans="1:5" s="12" customFormat="1">
      <c r="A42" s="138" t="s">
        <v>41</v>
      </c>
      <c r="B42" s="23"/>
      <c r="C42" s="23"/>
      <c r="D42" s="23"/>
      <c r="E42" s="16"/>
    </row>
    <row r="43" spans="1:5" s="12" customFormat="1">
      <c r="A43" s="139" t="s">
        <v>180</v>
      </c>
      <c r="B43" s="117"/>
      <c r="C43" s="117"/>
      <c r="D43" s="117"/>
      <c r="E43" s="16"/>
    </row>
    <row r="44" spans="1:5" s="12" customFormat="1">
      <c r="A44" s="126" t="s">
        <v>134</v>
      </c>
      <c r="B44" s="109">
        <f>'Plan d''occupation_1re année'!$AN$28*'Valeurs de référence'!C7*'Valeurs de référence'!C28</f>
        <v>0</v>
      </c>
      <c r="C44" s="109">
        <f>'Plan d''occupation_2e année'!$AN$28*'Valeurs de référence'!D7*'Valeurs de référence'!D28</f>
        <v>0</v>
      </c>
      <c r="D44" s="109">
        <f>'Plan d''occupation_3e année'!$AN$28*'Valeurs de référence'!E7*'Valeurs de référence'!E28</f>
        <v>0</v>
      </c>
      <c r="E44" s="16"/>
    </row>
    <row r="45" spans="1:5" s="12" customFormat="1">
      <c r="A45" s="126" t="s">
        <v>135</v>
      </c>
      <c r="B45" s="109">
        <f>'Plan d''occupation_1re année'!$AN$29*'Valeurs de référence'!C7*'Valeurs de référence'!C28*'Valeurs de référence'!C36</f>
        <v>0</v>
      </c>
      <c r="C45" s="109">
        <f>'Plan d''occupation_2e année'!$AN$29*'Valeurs de référence'!D7*'Valeurs de référence'!D28*'Valeurs de référence'!D36</f>
        <v>0</v>
      </c>
      <c r="D45" s="109">
        <f>'Plan d''occupation_3e année'!$AN$29*'Valeurs de référence'!E7*'Valeurs de référence'!E28*'Valeurs de référence'!E36</f>
        <v>0</v>
      </c>
      <c r="E45" s="16"/>
    </row>
    <row r="46" spans="1:5" s="12" customFormat="1">
      <c r="A46" s="128" t="s">
        <v>181</v>
      </c>
      <c r="B46" s="109"/>
      <c r="C46" s="37"/>
      <c r="D46" s="37"/>
      <c r="E46" s="16"/>
    </row>
    <row r="47" spans="1:5" s="12" customFormat="1">
      <c r="A47" s="106" t="s">
        <v>165</v>
      </c>
      <c r="B47" s="64">
        <f>'Temps de travail et traitements'!B130</f>
        <v>0</v>
      </c>
      <c r="C47" s="64">
        <f>'Temps de travail et traitements'!C130</f>
        <v>0</v>
      </c>
      <c r="D47" s="64">
        <f>'Temps de travail et traitements'!D130</f>
        <v>0</v>
      </c>
      <c r="E47" s="16"/>
    </row>
    <row r="48" spans="1:5" s="12" customFormat="1">
      <c r="A48" s="106" t="s">
        <v>139</v>
      </c>
      <c r="B48" s="37">
        <f>'Valeurs de référence'!C24*Budget!B47</f>
        <v>0</v>
      </c>
      <c r="C48" s="37">
        <f>'Valeurs de référence'!D24*Budget!C47</f>
        <v>0</v>
      </c>
      <c r="D48" s="37">
        <f>'Valeurs de référence'!E24*Budget!D47</f>
        <v>0</v>
      </c>
      <c r="E48" s="16"/>
    </row>
    <row r="49" spans="1:5" s="12" customFormat="1">
      <c r="A49" s="106" t="s">
        <v>140</v>
      </c>
      <c r="B49" s="113">
        <f>'Valeurs de référence'!C15*Budget!B47</f>
        <v>0</v>
      </c>
      <c r="C49" s="113">
        <f>'Valeurs de référence'!D15*Budget!C47</f>
        <v>0</v>
      </c>
      <c r="D49" s="113">
        <f>'Valeurs de référence'!E15*Budget!D47</f>
        <v>0</v>
      </c>
      <c r="E49" s="16"/>
    </row>
    <row r="50" spans="1:5" s="12" customFormat="1">
      <c r="A50" s="106" t="s">
        <v>141</v>
      </c>
      <c r="B50" s="109">
        <f>B7*'Valeurs de référence'!C32</f>
        <v>0</v>
      </c>
      <c r="C50" s="109">
        <f>C7*'Valeurs de référence'!D32</f>
        <v>0</v>
      </c>
      <c r="D50" s="109">
        <f>D7*'Valeurs de référence'!E32</f>
        <v>0</v>
      </c>
      <c r="E50" s="16"/>
    </row>
    <row r="51" spans="1:5" s="8" customFormat="1" ht="18" customHeight="1">
      <c r="A51" s="137" t="s">
        <v>136</v>
      </c>
      <c r="B51" s="110">
        <f>SUM(B44:B50)</f>
        <v>0</v>
      </c>
      <c r="C51" s="110">
        <f>SUM(C44:C50)</f>
        <v>0</v>
      </c>
      <c r="D51" s="110">
        <f>SUM(D44:D50)</f>
        <v>0</v>
      </c>
      <c r="E51" s="75"/>
    </row>
    <row r="52" spans="1:5" s="12" customFormat="1">
      <c r="A52" s="26"/>
      <c r="B52" s="17"/>
      <c r="C52" s="17"/>
      <c r="D52" s="17"/>
      <c r="E52" s="16"/>
    </row>
    <row r="53" spans="1:5" s="8" customFormat="1" ht="18" customHeight="1">
      <c r="A53" s="118" t="s">
        <v>137</v>
      </c>
      <c r="B53" s="74">
        <f>B40+B51</f>
        <v>61824.654074865364</v>
      </c>
      <c r="C53" s="74">
        <f>C40+C51</f>
        <v>61824.654074865364</v>
      </c>
      <c r="D53" s="74">
        <f>D40+D51</f>
        <v>61824.654074865364</v>
      </c>
      <c r="E53" s="75"/>
    </row>
    <row r="54" spans="1:5" s="12" customFormat="1">
      <c r="A54" s="10"/>
      <c r="B54" s="4"/>
      <c r="C54" s="4"/>
      <c r="D54" s="4"/>
      <c r="E54" s="16"/>
    </row>
    <row r="55" spans="1:5">
      <c r="B55" s="4"/>
      <c r="C55" s="4"/>
      <c r="D55" s="4"/>
    </row>
    <row r="56" spans="1:5" s="78" customFormat="1">
      <c r="A56" s="30" t="s">
        <v>182</v>
      </c>
      <c r="B56" s="77"/>
      <c r="C56" s="77"/>
      <c r="D56" s="77"/>
      <c r="E56" s="77"/>
    </row>
    <row r="57" spans="1:5" ht="24.95" customHeight="1">
      <c r="A57" s="10" t="s">
        <v>207</v>
      </c>
      <c r="B57" s="111">
        <f>'Contr. canton et parents  '!B17</f>
        <v>46105.020000000011</v>
      </c>
      <c r="C57" s="111">
        <f>'Contr. canton et parents  '!C17</f>
        <v>46105.020000000011</v>
      </c>
      <c r="D57" s="111">
        <f>'Contr. canton et parents  '!D17</f>
        <v>46105.020000000011</v>
      </c>
    </row>
    <row r="58" spans="1:5">
      <c r="A58" s="86" t="s">
        <v>211</v>
      </c>
      <c r="B58" s="64">
        <f>'Plan d''occupation_1re année'!$AN$28*'Valeurs de référence'!C7*'Valeurs de référence'!C34</f>
        <v>0</v>
      </c>
      <c r="C58" s="64">
        <f>'Plan d''occupation_2e année'!$AN$28*'Valeurs de référence'!D7*'Valeurs de référence'!D34</f>
        <v>0</v>
      </c>
      <c r="D58" s="64">
        <f>'Plan d''occupation_3e année'!$AN$28*'Valeurs de référence'!E7*'Valeurs de référence'!E34</f>
        <v>0</v>
      </c>
    </row>
    <row r="59" spans="1:5" s="8" customFormat="1" ht="18" customHeight="1">
      <c r="A59" s="95" t="s">
        <v>183</v>
      </c>
      <c r="B59" s="74">
        <f>SUM(B57:B58)</f>
        <v>46105.020000000011</v>
      </c>
      <c r="C59" s="74">
        <f>SUM(C57:C58)</f>
        <v>46105.020000000011</v>
      </c>
      <c r="D59" s="74">
        <f>SUM(D57:D58)</f>
        <v>46105.020000000011</v>
      </c>
      <c r="E59" s="75"/>
    </row>
    <row r="60" spans="1:5">
      <c r="B60" s="13"/>
      <c r="C60" s="13"/>
      <c r="D60" s="13"/>
    </row>
    <row r="61" spans="1:5">
      <c r="A61" s="4"/>
      <c r="B61" s="13"/>
      <c r="C61" s="13"/>
      <c r="D61" s="13"/>
    </row>
    <row r="62" spans="1:5" s="8" customFormat="1" ht="28.5" customHeight="1">
      <c r="A62" s="132" t="s">
        <v>184</v>
      </c>
      <c r="B62" s="74">
        <f>B53-B59</f>
        <v>15719.634074865353</v>
      </c>
      <c r="C62" s="74">
        <f>C53-C59</f>
        <v>15719.634074865353</v>
      </c>
      <c r="D62" s="74">
        <f>D53-D59</f>
        <v>15719.634074865353</v>
      </c>
      <c r="E62" s="75"/>
    </row>
    <row r="63" spans="1:5" s="83" customFormat="1">
      <c r="A63" s="80"/>
      <c r="B63" s="81"/>
      <c r="C63" s="81"/>
      <c r="D63" s="81"/>
      <c r="E63" s="82"/>
    </row>
    <row r="64" spans="1:5">
      <c r="B64" s="47"/>
      <c r="C64" s="47"/>
      <c r="D64" s="47"/>
    </row>
    <row r="65" spans="1:4" ht="28.5" customHeight="1">
      <c r="A65" s="135" t="s">
        <v>138</v>
      </c>
      <c r="B65" s="114">
        <f>B40/B8</f>
        <v>14.723661365769315</v>
      </c>
      <c r="C65" s="114">
        <f>C40/C8</f>
        <v>14.723661365769315</v>
      </c>
      <c r="D65" s="114">
        <f>D40/D8</f>
        <v>14.723661365769315</v>
      </c>
    </row>
    <row r="68" spans="1:4">
      <c r="A68" s="24"/>
    </row>
  </sheetData>
  <sheetProtection password="CCBC" sheet="1"/>
  <customSheetViews>
    <customSheetView guid="{48BF2AC7-6055-432C-8BF0-71FB56F968AB}" scale="150" showGridLines="0" fitToPage="1">
      <pageMargins left="0.98425196850393704" right="0.59055118110236227" top="0.78740157480314965" bottom="0.59055118110236227" header="0.51181102362204722" footer="0.51181102362204722"/>
      <pageSetup paperSize="9" scale="82" orientation="portrait" r:id="rId1"/>
      <headerFooter alignWithMargins="0"/>
    </customSheetView>
  </customSheetViews>
  <phoneticPr fontId="2" type="noConversion"/>
  <pageMargins left="0.98425196850393704" right="0.59055118110236227" top="0.78740157480314965" bottom="0.59055118110236227" header="0.51181102362204722" footer="0.51181102362204722"/>
  <pageSetup paperSize="9" scale="82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Valeurs de référence</vt:lpstr>
      <vt:lpstr>Nachfrage2</vt:lpstr>
      <vt:lpstr>Plan d'occupation_1re année</vt:lpstr>
      <vt:lpstr>Plan d'occupation_2e année</vt:lpstr>
      <vt:lpstr>Plan d'occupation_3e année</vt:lpstr>
      <vt:lpstr>Temps de travail et traitements</vt:lpstr>
      <vt:lpstr>Contr. canton et parents  </vt:lpstr>
      <vt:lpstr>Budget</vt:lpstr>
      <vt:lpstr>Nachfrage2!Druckbereich</vt:lpstr>
      <vt:lpstr>'Plan d''occupation_1re année'!Druckbereich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des frais d'exploitation d'une école à journée continue dans le canton de Berne</dc:title>
  <dc:subject>Tagesschulen</dc:subject>
  <dc:creator>AKVB</dc:creator>
  <cp:keywords>OECO</cp:keywords>
  <cp:lastModifiedBy>Rognon Patrick, BKD-AKVB-FBS</cp:lastModifiedBy>
  <cp:lastPrinted>2023-02-16T15:29:48Z</cp:lastPrinted>
  <dcterms:created xsi:type="dcterms:W3CDTF">2001-05-21T14:39:21Z</dcterms:created>
  <dcterms:modified xsi:type="dcterms:W3CDTF">2024-02-15T13:02:50Z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