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codeName="ThisWorkbook"/>
  <bookViews>
    <workbookView xWindow="0" yWindow="0" windowWidth="19200" windowHeight="8100" tabRatio="855"/>
  </bookViews>
  <sheets>
    <sheet name="accueil-vacances" sheetId="56" r:id="rId1"/>
    <sheet name="Nachfrage2" sheetId="39" state="hidden" r:id="rId2"/>
  </sheets>
  <definedNames>
    <definedName name="adminleitung">'accueil-vacances'!$A$115</definedName>
    <definedName name="angebot">'accueil-vacances'!$A$95</definedName>
    <definedName name="anzahlwochen" localSheetId="0">'accueil-vacances'!$D$14</definedName>
    <definedName name="ausbildung" localSheetId="0">'accueil-vacances'!$O$16</definedName>
    <definedName name="ausflug">'accueil-vacances'!$O$31</definedName>
    <definedName name="ausflugpropersonundtag">'accueil-vacances'!$AA$33</definedName>
    <definedName name="_xlnm.Print_Area" localSheetId="0">'accueil-vacances'!$C$38:$P$89</definedName>
    <definedName name="_xlnm.Print_Area" localSheetId="1">Nachfrage2!$A$1:$BE$37</definedName>
    <definedName name="_xlnm.Print_Titles" localSheetId="0">'accueil-vacances'!$6:$10</definedName>
    <definedName name="einrichtung">'accueil-vacances'!$O$30</definedName>
    <definedName name="einrichtungprokindundtag">'accueil-vacances'!$Y$33</definedName>
    <definedName name="eltern">'accueil-vacances'!$F$29</definedName>
    <definedName name="eltern_">'accueil-vacances'!$Y$121</definedName>
    <definedName name="eltern2">'accueil-vacances'!$I$123</definedName>
    <definedName name="gemeinde">'accueil-vacances'!$F$33</definedName>
    <definedName name="kanton">'accueil-vacances'!$Y$39</definedName>
    <definedName name="kinder_" localSheetId="0">'accueil-vacances'!$D$21</definedName>
    <definedName name="lohn1" localSheetId="0">'accueil-vacances'!$O$24</definedName>
    <definedName name="lohn2" localSheetId="0">'accueil-vacances'!$O$25</definedName>
    <definedName name="personalprotag">'accueil-vacances'!$A$109</definedName>
    <definedName name="personen">'accueil-vacances'!$AA$97</definedName>
    <definedName name="personmit">'accueil-vacances'!$O$21</definedName>
    <definedName name="personohne">'accueil-vacances'!$O$22</definedName>
    <definedName name="raum">'accueil-vacances'!$O$29</definedName>
    <definedName name="raumprotag">'accueil-vacances'!$Y$35</definedName>
    <definedName name="schlüssel" localSheetId="0">'accueil-vacances'!$O$14</definedName>
    <definedName name="sozial" localSheetId="0">'accueil-vacances'!$I$118</definedName>
    <definedName name="sozialv">'accueil-vacances'!$A$119</definedName>
    <definedName name="stunden">'accueil-vacances'!$D$16</definedName>
    <definedName name="tage_">'accueil-vacances'!$Y$92</definedName>
    <definedName name="tageprojahr" localSheetId="0">'accueil-vacances'!$I$94</definedName>
    <definedName name="tarif">'accueil-vacances'!$A$137</definedName>
    <definedName name="verpflegung">'accueil-vacances'!$O$33</definedName>
  </definedName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D18" i="39" l="1"/>
  <c r="BD19" i="39"/>
  <c r="BC18" i="39"/>
  <c r="BC19" i="39"/>
  <c r="BB18" i="39"/>
  <c r="BB19" i="39"/>
  <c r="BA18" i="39"/>
  <c r="BA19" i="39"/>
  <c r="AZ18" i="39"/>
  <c r="AZ19" i="39"/>
  <c r="AY18" i="39"/>
  <c r="AY19" i="39"/>
  <c r="AX18" i="39"/>
  <c r="AX19" i="39"/>
  <c r="AW18" i="39"/>
  <c r="AW19" i="39"/>
  <c r="AV18" i="39"/>
  <c r="AV19" i="39"/>
  <c r="AU18" i="39"/>
  <c r="AU19" i="39"/>
  <c r="AS18" i="39"/>
  <c r="AS19" i="39"/>
  <c r="AR18" i="39"/>
  <c r="AR19" i="39"/>
  <c r="AQ18" i="39"/>
  <c r="AQ19" i="39"/>
  <c r="AP18" i="39"/>
  <c r="AP19" i="39"/>
  <c r="AO18" i="39"/>
  <c r="AO19" i="39"/>
  <c r="AN18" i="39"/>
  <c r="AN19" i="39"/>
  <c r="AM18" i="39"/>
  <c r="AM19" i="39"/>
  <c r="AL18" i="39"/>
  <c r="AL19" i="39"/>
  <c r="AK18" i="39"/>
  <c r="AK19" i="39"/>
  <c r="AJ18" i="39"/>
  <c r="AJ19" i="39"/>
  <c r="AH18" i="39"/>
  <c r="AH19" i="39"/>
  <c r="AG18" i="39"/>
  <c r="AG19" i="39"/>
  <c r="AF18" i="39"/>
  <c r="AF19" i="39"/>
  <c r="AE18" i="39"/>
  <c r="AE19" i="39"/>
  <c r="AD18" i="39"/>
  <c r="AD19" i="39"/>
  <c r="AC18" i="39"/>
  <c r="AC19" i="39"/>
  <c r="AB18" i="39"/>
  <c r="AB19" i="39"/>
  <c r="AA18" i="39"/>
  <c r="AA19" i="39"/>
  <c r="Z18" i="39"/>
  <c r="Z19" i="39"/>
  <c r="Y18" i="39"/>
  <c r="Y19" i="39"/>
  <c r="W18" i="39"/>
  <c r="W19" i="39"/>
  <c r="V18" i="39"/>
  <c r="V19" i="39"/>
  <c r="U18" i="39"/>
  <c r="U19" i="39"/>
  <c r="T18" i="39"/>
  <c r="T19" i="39"/>
  <c r="S18" i="39"/>
  <c r="S19" i="39"/>
  <c r="R18" i="39"/>
  <c r="R19" i="39"/>
  <c r="Q18" i="39"/>
  <c r="Q19" i="39"/>
  <c r="P18" i="39"/>
  <c r="P19" i="39"/>
  <c r="O18" i="39"/>
  <c r="O19" i="39"/>
  <c r="N18" i="39"/>
  <c r="N19" i="39"/>
  <c r="L18" i="39"/>
  <c r="L19" i="39"/>
  <c r="K18" i="39"/>
  <c r="K19" i="39"/>
  <c r="J18" i="39"/>
  <c r="J19" i="39"/>
  <c r="I18" i="39"/>
  <c r="I19" i="39"/>
  <c r="H18" i="39"/>
  <c r="H19" i="39"/>
  <c r="G18" i="39"/>
  <c r="G19" i="39"/>
  <c r="F18" i="39"/>
  <c r="F19" i="39"/>
  <c r="E18" i="39"/>
  <c r="E19" i="39"/>
  <c r="D18" i="39"/>
  <c r="D19" i="39"/>
  <c r="C18" i="39"/>
  <c r="C19" i="39"/>
  <c r="BD16" i="39"/>
  <c r="BD17" i="39"/>
  <c r="BC16" i="39"/>
  <c r="BC17" i="39"/>
  <c r="BB16" i="39"/>
  <c r="BB17" i="39"/>
  <c r="BA16" i="39"/>
  <c r="BA17" i="39"/>
  <c r="AZ16" i="39"/>
  <c r="AZ17" i="39"/>
  <c r="AY16" i="39"/>
  <c r="AY17" i="39"/>
  <c r="AX16" i="39"/>
  <c r="AX17" i="39"/>
  <c r="AW16" i="39"/>
  <c r="AW17" i="39"/>
  <c r="AV16" i="39"/>
  <c r="AV17" i="39"/>
  <c r="AU16" i="39"/>
  <c r="AU17" i="39"/>
  <c r="AS16" i="39"/>
  <c r="AS17" i="39"/>
  <c r="AR16" i="39"/>
  <c r="AR17" i="39"/>
  <c r="AQ16" i="39"/>
  <c r="AQ17" i="39"/>
  <c r="AP16" i="39"/>
  <c r="AP17" i="39"/>
  <c r="AO16" i="39"/>
  <c r="AO17" i="39"/>
  <c r="AN16" i="39"/>
  <c r="AN17" i="39"/>
  <c r="AM16" i="39"/>
  <c r="AM17" i="39"/>
  <c r="AL16" i="39"/>
  <c r="AL17" i="39"/>
  <c r="AK16" i="39"/>
  <c r="AK17" i="39"/>
  <c r="AJ16" i="39"/>
  <c r="AJ17" i="39"/>
  <c r="AH16" i="39"/>
  <c r="AH17" i="39"/>
  <c r="AG16" i="39"/>
  <c r="AG17" i="39"/>
  <c r="AF16" i="39"/>
  <c r="AF17" i="39"/>
  <c r="AE16" i="39"/>
  <c r="AE17" i="39"/>
  <c r="AD16" i="39"/>
  <c r="AD17" i="39"/>
  <c r="AC16" i="39"/>
  <c r="AC17" i="39"/>
  <c r="AB16" i="39"/>
  <c r="AB17" i="39"/>
  <c r="AA16" i="39"/>
  <c r="AA17" i="39"/>
  <c r="Z16" i="39"/>
  <c r="Z17" i="39"/>
  <c r="Y16" i="39"/>
  <c r="Y17" i="39"/>
  <c r="W16" i="39"/>
  <c r="W17" i="39"/>
  <c r="V16" i="39"/>
  <c r="V17" i="39"/>
  <c r="U16" i="39"/>
  <c r="U17" i="39"/>
  <c r="T16" i="39"/>
  <c r="T17" i="39"/>
  <c r="S16" i="39"/>
  <c r="S17" i="39"/>
  <c r="R16" i="39"/>
  <c r="R17" i="39"/>
  <c r="Q16" i="39"/>
  <c r="Q17" i="39"/>
  <c r="P16" i="39"/>
  <c r="P17" i="39"/>
  <c r="O16" i="39"/>
  <c r="O17" i="39"/>
  <c r="N16" i="39"/>
  <c r="N17" i="39"/>
  <c r="L16" i="39"/>
  <c r="L17" i="39"/>
  <c r="K16" i="39"/>
  <c r="K17" i="39"/>
  <c r="J16" i="39"/>
  <c r="J17" i="39"/>
  <c r="I16" i="39"/>
  <c r="I17" i="39"/>
  <c r="H16" i="39"/>
  <c r="H17" i="39"/>
  <c r="G16" i="39"/>
  <c r="G17" i="39"/>
  <c r="F16" i="39"/>
  <c r="F17" i="39"/>
  <c r="E16" i="39"/>
  <c r="E17" i="39"/>
  <c r="D16" i="39"/>
  <c r="D17" i="39"/>
  <c r="C16" i="39"/>
  <c r="C17" i="39"/>
  <c r="BD14" i="39"/>
  <c r="BD15" i="39"/>
  <c r="BC14" i="39"/>
  <c r="BC15" i="39"/>
  <c r="BB14" i="39"/>
  <c r="BB15" i="39"/>
  <c r="BA14" i="39"/>
  <c r="BA15" i="39"/>
  <c r="AZ14" i="39"/>
  <c r="AZ15" i="39"/>
  <c r="AY14" i="39"/>
  <c r="AY15" i="39"/>
  <c r="AX14" i="39"/>
  <c r="AX15" i="39"/>
  <c r="AW14" i="39"/>
  <c r="AW15" i="39"/>
  <c r="AV14" i="39"/>
  <c r="AV15" i="39"/>
  <c r="AU14" i="39"/>
  <c r="AU15" i="39"/>
  <c r="AS14" i="39"/>
  <c r="AS15" i="39"/>
  <c r="AR14" i="39"/>
  <c r="AR15" i="39"/>
  <c r="AQ14" i="39"/>
  <c r="AQ15" i="39"/>
  <c r="AP14" i="39"/>
  <c r="AP15" i="39"/>
  <c r="AO14" i="39"/>
  <c r="AO15" i="39"/>
  <c r="AN14" i="39"/>
  <c r="AN15" i="39"/>
  <c r="AM14" i="39"/>
  <c r="AM15" i="39"/>
  <c r="AL14" i="39"/>
  <c r="AL15" i="39"/>
  <c r="AK14" i="39"/>
  <c r="AK15" i="39"/>
  <c r="AJ14" i="39"/>
  <c r="AJ15" i="39"/>
  <c r="AH14" i="39"/>
  <c r="AH15" i="39"/>
  <c r="AG14" i="39"/>
  <c r="AG15" i="39"/>
  <c r="AF14" i="39"/>
  <c r="AF15" i="39"/>
  <c r="AE14" i="39"/>
  <c r="AE15" i="39"/>
  <c r="AD14" i="39"/>
  <c r="AD15" i="39"/>
  <c r="AC14" i="39"/>
  <c r="AC15" i="39"/>
  <c r="AB14" i="39"/>
  <c r="AB15" i="39"/>
  <c r="AA14" i="39"/>
  <c r="AA15" i="39"/>
  <c r="Z14" i="39"/>
  <c r="Z15" i="39"/>
  <c r="Y14" i="39"/>
  <c r="Y15" i="39"/>
  <c r="W14" i="39"/>
  <c r="W15" i="39"/>
  <c r="V14" i="39"/>
  <c r="V15" i="39"/>
  <c r="U14" i="39"/>
  <c r="U15" i="39"/>
  <c r="T14" i="39"/>
  <c r="T15" i="39"/>
  <c r="S14" i="39"/>
  <c r="S15" i="39"/>
  <c r="R14" i="39"/>
  <c r="R15" i="39"/>
  <c r="Q14" i="39"/>
  <c r="Q15" i="39"/>
  <c r="P14" i="39"/>
  <c r="P15" i="39"/>
  <c r="O14" i="39"/>
  <c r="O15" i="39"/>
  <c r="N14" i="39"/>
  <c r="N15" i="39"/>
  <c r="L14" i="39"/>
  <c r="L15" i="39"/>
  <c r="K14" i="39"/>
  <c r="K15" i="39"/>
  <c r="J14" i="39"/>
  <c r="J15" i="39"/>
  <c r="I14" i="39"/>
  <c r="I15" i="39"/>
  <c r="H14" i="39"/>
  <c r="H15" i="39"/>
  <c r="G14" i="39"/>
  <c r="G15" i="39"/>
  <c r="F14" i="39"/>
  <c r="F15" i="39"/>
  <c r="E14" i="39"/>
  <c r="E15" i="39"/>
  <c r="D14" i="39"/>
  <c r="D15" i="39"/>
  <c r="C14" i="39"/>
  <c r="C15" i="39"/>
  <c r="BD7" i="39"/>
  <c r="BC7" i="39"/>
  <c r="BB7" i="39"/>
  <c r="BA7" i="39"/>
  <c r="AZ7" i="39"/>
  <c r="AY7" i="39"/>
  <c r="AX7" i="39"/>
  <c r="AW7" i="39"/>
  <c r="AS7" i="39"/>
  <c r="AR7" i="39"/>
  <c r="AQ7" i="39"/>
  <c r="AP7" i="39"/>
  <c r="AO7" i="39"/>
  <c r="AN7" i="39"/>
  <c r="AM7" i="39"/>
  <c r="AL7" i="39"/>
  <c r="AH7" i="39"/>
  <c r="AG7" i="39"/>
  <c r="AF7" i="39"/>
  <c r="AE7" i="39"/>
  <c r="AD7" i="39"/>
  <c r="AC7" i="39"/>
  <c r="AB7" i="39"/>
  <c r="AA7" i="39"/>
  <c r="W7" i="39"/>
  <c r="V7" i="39"/>
  <c r="U7" i="39"/>
  <c r="T7" i="39"/>
  <c r="S7" i="39"/>
  <c r="R7" i="39"/>
  <c r="Q7" i="39"/>
  <c r="P7" i="39"/>
  <c r="L7" i="39"/>
  <c r="K7" i="39"/>
  <c r="J7" i="39"/>
  <c r="I7" i="39"/>
  <c r="H7" i="39"/>
  <c r="G7" i="39"/>
  <c r="F7" i="39"/>
  <c r="E7" i="39"/>
  <c r="A2" i="39"/>
  <c r="A1" i="39"/>
  <c r="Z111" i="56"/>
  <c r="R148" i="56"/>
  <c r="O21" i="56"/>
  <c r="O22" i="56"/>
  <c r="I99" i="56"/>
  <c r="L99" i="56"/>
  <c r="Z97" i="56"/>
  <c r="L145" i="56"/>
  <c r="L146" i="56"/>
  <c r="I98" i="56"/>
  <c r="L98" i="56"/>
  <c r="Y97" i="56"/>
  <c r="L143" i="56"/>
  <c r="L144" i="56"/>
  <c r="L147" i="56"/>
  <c r="I93" i="56"/>
  <c r="Y92" i="56"/>
  <c r="R147" i="56"/>
  <c r="R149" i="56"/>
  <c r="R150" i="56"/>
  <c r="Y111" i="56"/>
  <c r="R151" i="56"/>
  <c r="R152" i="56"/>
  <c r="Y35" i="56"/>
  <c r="L153" i="56"/>
  <c r="R153" i="56"/>
  <c r="Y33" i="56"/>
  <c r="I154" i="56"/>
  <c r="L154" i="56"/>
  <c r="R154" i="56"/>
  <c r="AA33" i="56"/>
  <c r="AA97" i="56"/>
  <c r="L155" i="56"/>
  <c r="R155" i="56"/>
  <c r="L156" i="56"/>
  <c r="R156" i="56"/>
  <c r="R157" i="56"/>
  <c r="R158" i="56"/>
  <c r="Y121" i="56"/>
  <c r="I159" i="56"/>
  <c r="L159" i="56"/>
  <c r="R159" i="56"/>
  <c r="O51" i="56"/>
  <c r="I161" i="56"/>
  <c r="L161" i="56"/>
  <c r="R161" i="56"/>
  <c r="O52" i="56"/>
  <c r="R163" i="56"/>
  <c r="L163" i="56"/>
  <c r="O163" i="56"/>
  <c r="I163" i="56"/>
  <c r="R162" i="56"/>
  <c r="L162" i="56"/>
  <c r="O162" i="56"/>
  <c r="I162" i="56"/>
  <c r="O161" i="56"/>
  <c r="I160" i="56"/>
  <c r="L160" i="56"/>
  <c r="R160" i="56"/>
  <c r="O160" i="56"/>
  <c r="O159" i="56"/>
  <c r="O148" i="56"/>
  <c r="O147" i="56"/>
  <c r="O149" i="56"/>
  <c r="O150" i="56"/>
  <c r="O151" i="56"/>
  <c r="O152" i="56"/>
  <c r="O153" i="56"/>
  <c r="O154" i="56"/>
  <c r="O155" i="56"/>
  <c r="O156" i="56"/>
  <c r="L157" i="56"/>
  <c r="O157" i="56"/>
  <c r="O158" i="56"/>
  <c r="L148" i="56"/>
  <c r="L149" i="56"/>
  <c r="L150" i="56"/>
  <c r="L151" i="56"/>
  <c r="L152" i="56"/>
  <c r="L158" i="56"/>
  <c r="I148" i="56"/>
  <c r="I147" i="56"/>
  <c r="I149" i="56"/>
  <c r="I150" i="56"/>
  <c r="I151" i="56"/>
  <c r="I152" i="56"/>
  <c r="I153" i="56"/>
  <c r="I155" i="56"/>
  <c r="I156" i="56"/>
  <c r="I157" i="56"/>
  <c r="I158" i="56"/>
  <c r="R146" i="56"/>
  <c r="O146" i="56"/>
  <c r="I146" i="56"/>
  <c r="R145" i="56"/>
  <c r="O145" i="56"/>
  <c r="I145" i="56"/>
  <c r="R144" i="56"/>
  <c r="O144" i="56"/>
  <c r="I144" i="56"/>
  <c r="R143" i="56"/>
  <c r="O143" i="56"/>
  <c r="I143" i="56"/>
  <c r="I123" i="56"/>
  <c r="C123" i="56"/>
  <c r="I122" i="56"/>
  <c r="C122" i="56"/>
  <c r="Y117" i="56"/>
  <c r="C114" i="56"/>
  <c r="C113" i="56"/>
  <c r="C112" i="56"/>
  <c r="J108" i="56"/>
  <c r="I108" i="56"/>
  <c r="AA107" i="56"/>
  <c r="Y107" i="56"/>
  <c r="I107" i="56"/>
  <c r="C100" i="56"/>
  <c r="C98" i="56"/>
  <c r="I94" i="56"/>
  <c r="C94" i="56"/>
  <c r="C93" i="56"/>
  <c r="O88" i="56"/>
  <c r="P88" i="56"/>
  <c r="I52" i="56"/>
  <c r="O87" i="56"/>
  <c r="I53" i="56"/>
  <c r="O86" i="56"/>
  <c r="O85" i="56"/>
  <c r="O82" i="56"/>
  <c r="E82" i="56"/>
  <c r="O81" i="56"/>
  <c r="E81" i="56"/>
  <c r="O80" i="56"/>
  <c r="E80" i="56"/>
  <c r="O79" i="56"/>
  <c r="E79" i="56"/>
  <c r="O76" i="56"/>
  <c r="O75" i="56"/>
  <c r="E75" i="56"/>
  <c r="O74" i="56"/>
  <c r="O73" i="56"/>
  <c r="I73" i="56"/>
  <c r="O72" i="56"/>
  <c r="O71" i="56"/>
  <c r="I71" i="56"/>
  <c r="O70" i="56"/>
  <c r="E68" i="56"/>
  <c r="I63" i="56"/>
  <c r="O63" i="56"/>
  <c r="I65" i="56"/>
  <c r="O65" i="56"/>
  <c r="I64" i="56"/>
  <c r="E64" i="56"/>
  <c r="O53" i="56"/>
  <c r="O57" i="56"/>
  <c r="O42" i="56"/>
  <c r="O43" i="56"/>
  <c r="O44" i="56"/>
  <c r="O48" i="56"/>
  <c r="O59" i="56"/>
  <c r="Q59" i="56"/>
  <c r="L59" i="56"/>
  <c r="L51" i="56"/>
  <c r="L52" i="56"/>
  <c r="L53" i="56"/>
  <c r="L54" i="56"/>
  <c r="L57" i="56"/>
  <c r="I51" i="56"/>
  <c r="I54" i="56"/>
  <c r="I57" i="56"/>
  <c r="P54" i="56"/>
  <c r="Y52" i="56"/>
  <c r="L42" i="56"/>
  <c r="L43" i="56"/>
  <c r="L44" i="56"/>
  <c r="L45" i="56"/>
  <c r="L48" i="56"/>
  <c r="I42" i="56"/>
  <c r="I43" i="56"/>
  <c r="I44" i="56"/>
  <c r="I45" i="56"/>
  <c r="I48" i="56"/>
  <c r="D31" i="56"/>
  <c r="F25" i="56"/>
  <c r="D25" i="56"/>
  <c r="E17" i="56"/>
  <c r="M10" i="56"/>
</calcChain>
</file>

<file path=xl/sharedStrings.xml><?xml version="1.0" encoding="utf-8"?>
<sst xmlns="http://schemas.openxmlformats.org/spreadsheetml/2006/main" count="288" uniqueCount="162">
  <si>
    <t>Prognostizierte Nachfrage</t>
  </si>
  <si>
    <t>Jahr 5</t>
  </si>
  <si>
    <t>Freitag</t>
  </si>
  <si>
    <t>Übertrag von der Bedarfsabklärung</t>
  </si>
  <si>
    <t>Resultate der Abklärung</t>
  </si>
  <si>
    <t>Anzahl Kinder gem. Umfrage</t>
  </si>
  <si>
    <t>Schätzung des Bedarfs</t>
  </si>
  <si>
    <t>Jahr 6</t>
  </si>
  <si>
    <t>Realisierte Nachfrage in Prozent</t>
  </si>
  <si>
    <t>Jahr 1 Prozent</t>
  </si>
  <si>
    <t>Jahr 1 absolut</t>
  </si>
  <si>
    <t>Jahr 2 absolut</t>
  </si>
  <si>
    <t>Jahr 3 absolut</t>
  </si>
  <si>
    <t>Jahr 2 Prozent</t>
  </si>
  <si>
    <t>Jahr 3 Prozent</t>
  </si>
  <si>
    <t>Jahr 4</t>
  </si>
  <si>
    <t>Beginn Modul</t>
  </si>
  <si>
    <t>Ende Modul</t>
  </si>
  <si>
    <t>Dienstag</t>
  </si>
  <si>
    <t>Mittwoch</t>
  </si>
  <si>
    <t>Donnerstag</t>
  </si>
  <si>
    <t>Montag</t>
  </si>
  <si>
    <t>Fr.</t>
  </si>
  <si>
    <r>
      <rPr>
        <sz val="10"/>
        <rFont val="Symbol"/>
        <family val="1"/>
        <charset val="2"/>
      </rPr>
      <t>-</t>
    </r>
  </si>
  <si>
    <t>Budget</t>
  </si>
  <si>
    <t>Tarif</t>
  </si>
  <si>
    <t>⎼</t>
  </si>
  <si>
    <t>Stunden pro Jahr</t>
  </si>
  <si>
    <t>Commune de</t>
  </si>
  <si>
    <t>Année scolaire</t>
  </si>
  <si>
    <t>2020-21</t>
  </si>
  <si>
    <t>www.be.ch/accueil-vacances</t>
  </si>
  <si>
    <t>Semaines de vacances par an 
avec prise en charge</t>
  </si>
  <si>
    <t>Heures de prise en charge par jour</t>
  </si>
  <si>
    <t>Offre</t>
  </si>
  <si>
    <t>Enfants</t>
  </si>
  <si>
    <t>Enfants par jour en moyenne</t>
  </si>
  <si>
    <t>Les frais de personnel sont identiques pour</t>
  </si>
  <si>
    <t>Émoluments versés par les parents</t>
  </si>
  <si>
    <t>Contribution communale</t>
  </si>
  <si>
    <t>Ø  par enfant et par jour, repas inclus</t>
  </si>
  <si>
    <t>Personnel</t>
  </si>
  <si>
    <t>Formation</t>
  </si>
  <si>
    <r>
      <t xml:space="preserve">Part du personnel d'encadrement </t>
    </r>
    <r>
      <rPr>
        <b/>
        <sz val="10.5"/>
        <rFont val="Arial"/>
        <family val="2"/>
      </rPr>
      <t>disposant</t>
    </r>
    <r>
      <rPr>
        <sz val="10.5"/>
        <rFont val="Arial"/>
        <family val="2"/>
      </rPr>
      <t xml:space="preserve"> 
d'une formation pédagogique 
ou socio-pédagogique</t>
    </r>
  </si>
  <si>
    <t>Personnel d'encadrement</t>
  </si>
  <si>
    <r>
      <t>disposant</t>
    </r>
    <r>
      <rPr>
        <sz val="10.5"/>
        <rFont val="Arial"/>
        <family val="2"/>
      </rPr>
      <t xml:space="preserve"> d'une formation</t>
    </r>
  </si>
  <si>
    <r>
      <rPr>
        <b/>
        <sz val="10.5"/>
        <rFont val="Arial"/>
        <family val="2"/>
      </rPr>
      <t xml:space="preserve">sans </t>
    </r>
    <r>
      <rPr>
        <sz val="10.5"/>
        <rFont val="Arial"/>
        <family val="2"/>
      </rPr>
      <t>formation</t>
    </r>
  </si>
  <si>
    <t>Frais de biens et services</t>
  </si>
  <si>
    <t>Coûts immobiliers</t>
  </si>
  <si>
    <t>Matériel et équipements</t>
  </si>
  <si>
    <t>Excursions</t>
  </si>
  <si>
    <t>Repas</t>
  </si>
  <si>
    <t>par personne et par jour</t>
  </si>
  <si>
    <t>par enfant et par jour</t>
  </si>
  <si>
    <t>forfait par jour</t>
  </si>
  <si>
    <t>forfait par semaine</t>
  </si>
  <si>
    <t>forfait par année scolaire</t>
  </si>
  <si>
    <t>par jour</t>
  </si>
  <si>
    <t>par semaine</t>
  </si>
  <si>
    <t>Des émoluments doivent être prélevés auprès des parents.</t>
  </si>
  <si>
    <t>par année scolaire</t>
  </si>
  <si>
    <t>par personne et par jour pour les excursions</t>
  </si>
  <si>
    <t>par enfant et par jour pour les équipments</t>
  </si>
  <si>
    <t>coûts immobiliers par jour</t>
  </si>
  <si>
    <t>contribution cantonale par enfant et par jour</t>
  </si>
  <si>
    <t>Coûts</t>
  </si>
  <si>
    <t>Recettes</t>
  </si>
  <si>
    <t>Frais de personnel*</t>
  </si>
  <si>
    <t>Total frais</t>
  </si>
  <si>
    <t>* y compris direction et administration, heures de travail en dehors des heures d'encadrement et assurances sociales</t>
  </si>
  <si>
    <t>Subventions cantonales</t>
  </si>
  <si>
    <t>Contributions communales</t>
  </si>
  <si>
    <t>Autres recettes</t>
  </si>
  <si>
    <t>Total recettes</t>
  </si>
  <si>
    <t>Déficit</t>
  </si>
  <si>
    <t>Excédent</t>
  </si>
  <si>
    <t>Nombre de semaines de vacances</t>
  </si>
  <si>
    <t>Nombre d'enfants</t>
  </si>
  <si>
    <t>Nombre de jours</t>
  </si>
  <si>
    <t>Jours d'encadrement</t>
  </si>
  <si>
    <t>enfants par personne assurant l'encadrement au maximum</t>
  </si>
  <si>
    <t>Coefficient d'encadrement</t>
  </si>
  <si>
    <t>Part du personnel d'encadrement disposant d'une formation pédagogique 
ou socio-pédagogique</t>
  </si>
  <si>
    <t>Personnes disposant d'une formation</t>
  </si>
  <si>
    <t>Personnes sans formation</t>
  </si>
  <si>
    <t>Heures de travail par jour</t>
  </si>
  <si>
    <t>Salaire horaire 
brut</t>
  </si>
  <si>
    <t>Frais de biens</t>
  </si>
  <si>
    <t>et services</t>
  </si>
  <si>
    <t>Ø  Montant versé par les parents par enfant et par jour</t>
  </si>
  <si>
    <t>Contribution cantonale par enfant et par jour</t>
  </si>
  <si>
    <t>Autres recettes :</t>
  </si>
  <si>
    <t>Semaines</t>
  </si>
  <si>
    <t>Jours</t>
  </si>
  <si>
    <t>jours par année</t>
  </si>
  <si>
    <t>appliquer au calcul</t>
  </si>
  <si>
    <t>Nombre de semaines (voir ci-dessus)</t>
  </si>
  <si>
    <t>Nombre de jours d'encadrement durant 
l'année scolaire</t>
  </si>
  <si>
    <t>Personnel d'encadrement par jour</t>
  </si>
  <si>
    <t>Personnes</t>
  </si>
  <si>
    <t>Temps consacré à la 
préparation et au suivi</t>
  </si>
  <si>
    <t>Heures 
d'encadrement</t>
  </si>
  <si>
    <t>heures</t>
  </si>
  <si>
    <t>Valeurs calculées autom.</t>
  </si>
  <si>
    <t>Planification</t>
  </si>
  <si>
    <t>sans formation</t>
  </si>
  <si>
    <r>
      <rPr>
        <b/>
        <sz val="10.5"/>
        <rFont val="Arial"/>
        <family val="2"/>
      </rPr>
      <t>avec</t>
    </r>
    <r>
      <rPr>
        <sz val="10.5"/>
        <rFont val="Arial"/>
        <family val="2"/>
      </rPr>
      <t xml:space="preserve"> formation</t>
    </r>
  </si>
  <si>
    <r>
      <rPr>
        <b/>
        <sz val="10.5"/>
        <rFont val="Arial"/>
        <family val="2"/>
      </rPr>
      <t>sans</t>
    </r>
    <r>
      <rPr>
        <sz val="10.5"/>
        <rFont val="Arial"/>
        <family val="2"/>
      </rPr>
      <t xml:space="preserve"> formation</t>
    </r>
  </si>
  <si>
    <t>heures sur</t>
  </si>
  <si>
    <t>sont couvertes par le coefficient d'encadrement.</t>
  </si>
  <si>
    <t>Le nombre planifié de personnes disposant d'une formation n'est pas respecté.</t>
  </si>
  <si>
    <t>Supplément sur les coûts salariaux bruts</t>
  </si>
  <si>
    <t>Heures par semaine d'encadrement (personne formée)</t>
  </si>
  <si>
    <t>Heures par année (personne formée)</t>
  </si>
  <si>
    <t>ou</t>
  </si>
  <si>
    <t>Direction et administration</t>
  </si>
  <si>
    <t>Assurances sociales</t>
  </si>
  <si>
    <t>Cotisations de l'employeur versées aux assurances sociales</t>
  </si>
  <si>
    <t>Tarifs, repas inclus</t>
  </si>
  <si>
    <t>Description</t>
  </si>
  <si>
    <t>Moyenne/tarif unique</t>
  </si>
  <si>
    <t>Moyenne (voir ci-dessus)</t>
  </si>
  <si>
    <t>Tarif échelonné</t>
  </si>
  <si>
    <t>Tarifs p. ex.</t>
  </si>
  <si>
    <t>Moyenne</t>
  </si>
  <si>
    <t>selon situation économique / indépendants des tarifs de l'école à journée continue ou</t>
  </si>
  <si>
    <t xml:space="preserve">tarif distinct pour les enfants provenant de communes qui ne participent pas à la structure d'accueil </t>
  </si>
  <si>
    <t>durant les vacances scolaires</t>
  </si>
  <si>
    <t>avec</t>
  </si>
  <si>
    <t>heures de travail, y c. en dehors des heures d'encadrement</t>
  </si>
  <si>
    <t>coûts salariaux bruts</t>
  </si>
  <si>
    <t>sans</t>
  </si>
  <si>
    <t>coûts salariaux bruts totaux</t>
  </si>
  <si>
    <t>supplément (en temps) pour les tâches de direction et d'administration</t>
  </si>
  <si>
    <t>coûts salariaux bruts avec admin./direction totaux</t>
  </si>
  <si>
    <t>cotisations de l'employeur versées aux assurances sociales</t>
  </si>
  <si>
    <t>supplément pour les tâches de direction et d'administration en %</t>
  </si>
  <si>
    <t>frais de personnel totaux</t>
  </si>
  <si>
    <t>coûts immobiliers</t>
  </si>
  <si>
    <t>matériel et équipements</t>
  </si>
  <si>
    <t>excursions</t>
  </si>
  <si>
    <t>repas</t>
  </si>
  <si>
    <t>coûts totaux</t>
  </si>
  <si>
    <t>émoluments versés par les parents</t>
  </si>
  <si>
    <t>contributions communales</t>
  </si>
  <si>
    <t>subventions cantonales</t>
  </si>
  <si>
    <t>Prise en charge pendant au moins 9h et au plus 12 heures</t>
  </si>
  <si>
    <t>Part/enfants</t>
  </si>
  <si>
    <t>Structures d'accueil durant les vacances scolaires</t>
  </si>
  <si>
    <t>Autres coûts</t>
  </si>
  <si>
    <t>2019.ERZ.559 (Dok.-Nr. 275004)</t>
  </si>
  <si>
    <t>Direction de l’instruction publique et de la culture</t>
  </si>
  <si>
    <t xml:space="preserve">Office de l'école obligatoire et du conseil </t>
  </si>
  <si>
    <t>Contributions communales par enfant et par jour</t>
  </si>
  <si>
    <t>correspondant au déficit</t>
  </si>
  <si>
    <t>avec subventions cantonales</t>
  </si>
  <si>
    <t>sans subventions cantonales</t>
  </si>
  <si>
    <t>Subventions cantonales - conditions : art. 49a1 LEO</t>
  </si>
  <si>
    <t>Les contributions communales sont inférieures aux subventions cantonales.</t>
  </si>
  <si>
    <t>Si l'excédent est compensé, les contributions communales sont inférieures aux subventions cantonales.</t>
  </si>
  <si>
    <t xml:space="preserve">La contribution communale pour les enfants domiciliés dans cette commune doit être au moins égale à la subvention cantonale. </t>
  </si>
  <si>
    <r>
      <rPr>
        <b/>
        <sz val="9"/>
        <rFont val="Arial"/>
        <family val="2"/>
      </rPr>
      <t>Coûts</t>
    </r>
    <r>
      <rPr>
        <sz val="9"/>
        <rFont val="Arial"/>
        <family val="2"/>
      </rPr>
      <t xml:space="preserve"> : Pour bénéficier de la subvention cantonale, la commune prestataire doit verser pour ses enfants au moins la même contribution que le canton (CHF 30.- par élève et par jour). La commune peut également retenir les coûts liés à l’infrastructure, au matériel, à l’administration et aux repas. Il convient de ne prendre en compte que les coûts réels, par exemple, l’eau, l’électricité, le chauffage, le nettoyage et le loyer. Les coûts découlant de facturations internes à la commune ne sont pas comptabilisés, comme par exemple la mise à disposition de locaux.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</si>
</sst>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0.00_ ;\-#,##0.00\ "/>
    <numFmt numFmtId="166" formatCode="&quot;Etat au :&quot;\ \ dd/mm/yyyy"/>
    <numFmt numFmtId="167" formatCode="0\ &quot;     enfants.&quot;"/>
  </numFmts>
  <fonts count="32">
    <font>
      <sz val="9"/>
      <name val="Geneva"/>
    </font>
    <font>
      <sz val="9"/>
      <name val="Geneva"/>
    </font>
    <font>
      <sz val="8"/>
      <name val="Geneva"/>
    </font>
    <font>
      <u/>
      <sz val="9"/>
      <color indexed="12"/>
      <name val="Geneva"/>
    </font>
    <font>
      <sz val="10"/>
      <name val="Arial"/>
      <family val="2"/>
    </font>
    <font>
      <b/>
      <sz val="10"/>
      <name val="Arial"/>
      <family val="2"/>
    </font>
    <font>
      <b/>
      <sz val="12"/>
      <name val="Arial"/>
      <family val="2"/>
    </font>
    <font>
      <sz val="9"/>
      <name val="Arial"/>
      <family val="2"/>
    </font>
    <font>
      <b/>
      <sz val="16"/>
      <name val="Arial"/>
      <family val="2"/>
    </font>
    <font>
      <u/>
      <sz val="9"/>
      <color theme="11"/>
      <name val="Geneva"/>
    </font>
    <font>
      <u/>
      <sz val="12"/>
      <color indexed="12"/>
      <name val="Geneva"/>
    </font>
    <font>
      <b/>
      <sz val="10.5"/>
      <name val="Arial"/>
      <family val="2"/>
    </font>
    <font>
      <sz val="10.5"/>
      <name val="Arial"/>
      <family val="2"/>
    </font>
    <font>
      <sz val="10.5"/>
      <color rgb="FFFF0000"/>
      <name val="Arial"/>
      <family val="2"/>
    </font>
    <font>
      <u/>
      <sz val="10.5"/>
      <color indexed="12"/>
      <name val="Geneva"/>
    </font>
    <font>
      <sz val="10"/>
      <name val="Symbol"/>
      <family val="1"/>
      <charset val="2"/>
    </font>
    <font>
      <u/>
      <sz val="12"/>
      <color indexed="12"/>
      <name val="Arial"/>
      <family val="2"/>
    </font>
    <font>
      <sz val="10"/>
      <color rgb="FFFF0000"/>
      <name val="Arial"/>
      <family val="2"/>
    </font>
    <font>
      <b/>
      <sz val="11"/>
      <color theme="8" tint="-0.249977111117893"/>
      <name val="Arial"/>
      <family val="2"/>
    </font>
    <font>
      <sz val="11"/>
      <color theme="1"/>
      <name val="Arial"/>
      <family val="2"/>
    </font>
    <font>
      <sz val="12"/>
      <name val="Arial"/>
      <family val="2"/>
    </font>
    <font>
      <sz val="10"/>
      <name val="Wingdings"/>
      <charset val="2"/>
    </font>
    <font>
      <b/>
      <sz val="16"/>
      <color theme="8" tint="-0.249977111117893"/>
      <name val="Wingdings"/>
      <charset val="2"/>
    </font>
    <font>
      <sz val="18"/>
      <color theme="8" tint="-0.249977111117893"/>
      <name val="Wingdings"/>
      <charset val="2"/>
    </font>
    <font>
      <sz val="10.5"/>
      <color theme="1"/>
      <name val="Arial"/>
      <family val="2"/>
    </font>
    <font>
      <sz val="10"/>
      <color theme="1"/>
      <name val="Arial"/>
      <family val="2"/>
    </font>
    <font>
      <sz val="11"/>
      <color rgb="FFFF0000"/>
      <name val="Arial"/>
      <family val="2"/>
    </font>
    <font>
      <sz val="8.5"/>
      <name val="Arial"/>
      <family val="2"/>
    </font>
    <font>
      <b/>
      <sz val="10.5"/>
      <color rgb="FFFF0000"/>
      <name val="Arial"/>
      <family val="2"/>
    </font>
    <font>
      <b/>
      <sz val="10"/>
      <color rgb="FFFF0000"/>
      <name val="Arial"/>
      <family val="2"/>
    </font>
    <font>
      <u/>
      <sz val="10.5"/>
      <color indexed="12"/>
      <name val="Arial"/>
      <family val="2"/>
    </font>
    <font>
      <b/>
      <sz val="9"/>
      <name val="Arial"/>
      <family val="2"/>
    </font>
  </fonts>
  <fills count="20">
    <fill>
      <patternFill patternType="none"/>
    </fill>
    <fill>
      <patternFill patternType="gray125"/>
    </fill>
    <fill>
      <patternFill patternType="solid">
        <fgColor indexed="44"/>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rgb="FFFFFF99"/>
        <bgColor rgb="FF000000"/>
      </patternFill>
    </fill>
    <fill>
      <patternFill patternType="solid">
        <fgColor theme="7" tint="0.39997558519241921"/>
        <bgColor indexed="64"/>
      </patternFill>
    </fill>
    <fill>
      <patternFill patternType="solid">
        <fgColor theme="7" tint="0.79998168889431442"/>
        <bgColor rgb="FF000000"/>
      </patternFill>
    </fill>
    <fill>
      <patternFill patternType="solid">
        <fgColor theme="2" tint="-0.249977111117893"/>
        <bgColor indexed="64"/>
      </patternFill>
    </fill>
    <fill>
      <patternFill patternType="solid">
        <fgColor theme="0" tint="-4.9989318521683403E-2"/>
        <bgColor indexed="64"/>
      </patternFill>
    </fill>
  </fills>
  <borders count="14">
    <border>
      <left/>
      <right/>
      <top/>
      <bottom/>
      <diagonal/>
    </border>
    <border>
      <left/>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77">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429">
    <xf numFmtId="0" fontId="0" fillId="0" borderId="0" xfId="0"/>
    <xf numFmtId="0" fontId="6" fillId="0" borderId="0" xfId="0" applyFont="1"/>
    <xf numFmtId="0" fontId="4" fillId="0" borderId="0" xfId="0" applyFont="1"/>
    <xf numFmtId="0" fontId="5" fillId="0" borderId="0" xfId="0" applyFont="1"/>
    <xf numFmtId="0" fontId="4" fillId="0" borderId="0" xfId="0" applyFont="1" applyAlignment="1">
      <alignment vertical="center"/>
    </xf>
    <xf numFmtId="0" fontId="4" fillId="0" borderId="0" xfId="0" applyFont="1" applyAlignment="1">
      <alignment vertical="top"/>
    </xf>
    <xf numFmtId="0" fontId="7" fillId="0" borderId="0" xfId="0" applyFont="1"/>
    <xf numFmtId="0" fontId="6" fillId="0" borderId="0" xfId="0" applyFont="1" applyAlignment="1">
      <alignment vertical="top"/>
    </xf>
    <xf numFmtId="0" fontId="4" fillId="0" borderId="2" xfId="0" applyFont="1" applyBorder="1" applyAlignment="1">
      <alignment horizontal="center" vertical="center"/>
    </xf>
    <xf numFmtId="0" fontId="4" fillId="0" borderId="3" xfId="0" applyFont="1" applyBorder="1" applyAlignment="1">
      <alignment vertical="top"/>
    </xf>
    <xf numFmtId="0" fontId="4" fillId="0" borderId="1" xfId="0" applyFont="1" applyBorder="1" applyAlignment="1">
      <alignment vertical="top"/>
    </xf>
    <xf numFmtId="0" fontId="4" fillId="0" borderId="4" xfId="0" applyFont="1" applyBorder="1" applyAlignment="1">
      <alignment vertical="top"/>
    </xf>
    <xf numFmtId="20" fontId="4" fillId="2" borderId="5" xfId="0" applyNumberFormat="1" applyFont="1" applyFill="1" applyBorder="1" applyAlignment="1">
      <alignment vertical="center" textRotation="180"/>
    </xf>
    <xf numFmtId="20" fontId="4" fillId="2" borderId="0" xfId="0" applyNumberFormat="1" applyFont="1" applyFill="1" applyBorder="1" applyAlignment="1">
      <alignment vertical="center" textRotation="180"/>
    </xf>
    <xf numFmtId="20" fontId="4" fillId="2" borderId="5" xfId="0" applyNumberFormat="1" applyFont="1" applyFill="1" applyBorder="1" applyAlignment="1">
      <alignment horizontal="left" vertical="center" textRotation="180"/>
    </xf>
    <xf numFmtId="20" fontId="4" fillId="2" borderId="0" xfId="0" applyNumberFormat="1" applyFont="1" applyFill="1" applyBorder="1" applyAlignment="1">
      <alignment horizontal="left" vertical="center" textRotation="180"/>
    </xf>
    <xf numFmtId="0" fontId="5" fillId="0" borderId="0" xfId="0" applyFont="1" applyAlignment="1">
      <alignment vertical="top"/>
    </xf>
    <xf numFmtId="9" fontId="7" fillId="0" borderId="0" xfId="0" applyNumberFormat="1" applyFont="1"/>
    <xf numFmtId="0" fontId="7" fillId="2" borderId="0" xfId="0" applyFont="1" applyFill="1"/>
    <xf numFmtId="9" fontId="7" fillId="2" borderId="0" xfId="0" applyNumberFormat="1" applyFont="1" applyFill="1"/>
    <xf numFmtId="0" fontId="4" fillId="0" borderId="0" xfId="0" applyFont="1" applyFill="1" applyAlignment="1" applyProtection="1">
      <alignment vertical="top"/>
    </xf>
    <xf numFmtId="0" fontId="4" fillId="0" borderId="0" xfId="0" applyFont="1" applyFill="1" applyBorder="1" applyAlignment="1" applyProtection="1">
      <alignment horizontal="center" vertical="top"/>
    </xf>
    <xf numFmtId="0" fontId="4" fillId="0" borderId="0" xfId="0" applyFont="1" applyFill="1" applyProtection="1"/>
    <xf numFmtId="0" fontId="4" fillId="0" borderId="0" xfId="0" applyFont="1" applyAlignment="1" applyProtection="1">
      <alignment horizontal="center" vertical="top"/>
    </xf>
    <xf numFmtId="0" fontId="4" fillId="0" borderId="0" xfId="0" applyFont="1" applyAlignment="1" applyProtection="1">
      <alignment vertical="top"/>
    </xf>
    <xf numFmtId="0" fontId="4" fillId="0" borderId="0" xfId="0" applyFont="1" applyProtection="1"/>
    <xf numFmtId="0" fontId="4" fillId="0" borderId="0" xfId="0" applyFont="1" applyBorder="1" applyAlignment="1" applyProtection="1">
      <alignment horizontal="center" vertical="top"/>
    </xf>
    <xf numFmtId="0" fontId="12" fillId="0" borderId="0" xfId="0" applyFont="1" applyFill="1" applyAlignment="1" applyProtection="1">
      <alignment vertical="center"/>
    </xf>
    <xf numFmtId="0" fontId="12" fillId="0" borderId="0" xfId="0" applyFont="1" applyFill="1" applyAlignment="1" applyProtection="1">
      <alignment vertical="top"/>
    </xf>
    <xf numFmtId="0" fontId="11" fillId="0" borderId="0" xfId="0" applyFont="1" applyFill="1" applyAlignment="1" applyProtection="1">
      <alignment vertical="center"/>
    </xf>
    <xf numFmtId="0" fontId="12" fillId="6" borderId="0" xfId="0" applyFont="1" applyFill="1" applyBorder="1" applyAlignment="1" applyProtection="1">
      <alignment horizontal="center" vertical="center"/>
      <protection hidden="1"/>
    </xf>
    <xf numFmtId="0" fontId="4" fillId="0" borderId="0" xfId="0" applyFont="1" applyBorder="1" applyAlignment="1" applyProtection="1">
      <alignment horizontal="center" vertical="top"/>
      <protection hidden="1"/>
    </xf>
    <xf numFmtId="0" fontId="4" fillId="0" borderId="0" xfId="0" applyFont="1" applyFill="1" applyBorder="1" applyAlignment="1" applyProtection="1">
      <alignment horizontal="center" vertical="top"/>
      <protection hidden="1"/>
    </xf>
    <xf numFmtId="0" fontId="4" fillId="0" borderId="0" xfId="0" applyFont="1" applyFill="1" applyAlignment="1" applyProtection="1">
      <alignment vertical="top"/>
      <protection hidden="1"/>
    </xf>
    <xf numFmtId="0" fontId="4" fillId="0" borderId="0" xfId="0" applyFont="1" applyFill="1" applyProtection="1">
      <protection hidden="1"/>
    </xf>
    <xf numFmtId="0" fontId="12" fillId="0" borderId="0" xfId="0" applyFont="1" applyFill="1" applyAlignment="1" applyProtection="1">
      <alignment vertical="top"/>
      <protection hidden="1"/>
    </xf>
    <xf numFmtId="0" fontId="12" fillId="0" borderId="0" xfId="0" applyFont="1" applyFill="1" applyBorder="1" applyAlignment="1" applyProtection="1">
      <alignment horizontal="center" vertical="top"/>
      <protection hidden="1"/>
    </xf>
    <xf numFmtId="0" fontId="12" fillId="0" borderId="0" xfId="0" applyFont="1" applyFill="1" applyBorder="1" applyAlignment="1" applyProtection="1">
      <alignment vertical="center"/>
      <protection hidden="1"/>
    </xf>
    <xf numFmtId="0" fontId="12" fillId="0" borderId="0" xfId="0" applyFont="1" applyFill="1" applyAlignment="1" applyProtection="1">
      <alignment horizontal="center" vertical="center"/>
      <protection hidden="1"/>
    </xf>
    <xf numFmtId="0" fontId="4" fillId="0" borderId="1" xfId="0" applyFont="1" applyFill="1" applyBorder="1" applyAlignment="1" applyProtection="1">
      <alignment horizontal="center" vertical="top"/>
      <protection hidden="1"/>
    </xf>
    <xf numFmtId="0" fontId="4" fillId="0" borderId="1" xfId="0" applyFont="1" applyFill="1" applyBorder="1" applyAlignment="1" applyProtection="1">
      <alignment vertical="top"/>
      <protection hidden="1"/>
    </xf>
    <xf numFmtId="3" fontId="11" fillId="0" borderId="0" xfId="0" applyNumberFormat="1" applyFont="1" applyFill="1" applyBorder="1" applyAlignment="1" applyProtection="1">
      <alignment horizontal="center" vertical="center"/>
      <protection hidden="1"/>
    </xf>
    <xf numFmtId="0" fontId="4" fillId="0" borderId="0" xfId="0" applyFont="1" applyFill="1" applyBorder="1" applyAlignment="1" applyProtection="1">
      <alignment vertical="center"/>
      <protection hidden="1"/>
    </xf>
    <xf numFmtId="0" fontId="11" fillId="0" borderId="0" xfId="0" applyFont="1" applyFill="1" applyAlignment="1" applyProtection="1">
      <alignment horizontal="center" vertical="center"/>
      <protection hidden="1"/>
    </xf>
    <xf numFmtId="0" fontId="4" fillId="0" borderId="0" xfId="0" applyFont="1" applyFill="1" applyBorder="1" applyAlignment="1" applyProtection="1">
      <alignment horizontal="center"/>
      <protection hidden="1"/>
    </xf>
    <xf numFmtId="3" fontId="12" fillId="0" borderId="0" xfId="0" applyNumberFormat="1" applyFont="1" applyFill="1" applyBorder="1" applyAlignment="1" applyProtection="1">
      <alignment horizontal="right" vertical="center"/>
      <protection hidden="1"/>
    </xf>
    <xf numFmtId="0" fontId="4" fillId="0" borderId="0" xfId="0" applyFont="1" applyFill="1" applyAlignment="1" applyProtection="1">
      <alignment horizontal="right" vertical="top"/>
      <protection hidden="1"/>
    </xf>
    <xf numFmtId="0" fontId="4" fillId="0" borderId="1" xfId="0" applyFont="1" applyFill="1" applyBorder="1" applyAlignment="1" applyProtection="1">
      <alignment horizontal="right" vertical="top"/>
      <protection hidden="1"/>
    </xf>
    <xf numFmtId="3" fontId="11" fillId="0" borderId="0" xfId="0" applyNumberFormat="1" applyFont="1" applyFill="1" applyBorder="1" applyAlignment="1" applyProtection="1">
      <alignment horizontal="right" vertical="center"/>
      <protection hidden="1"/>
    </xf>
    <xf numFmtId="0" fontId="12" fillId="0" borderId="0" xfId="0" applyFont="1" applyFill="1" applyBorder="1" applyAlignment="1" applyProtection="1">
      <alignment horizontal="left" vertical="center" indent="1"/>
      <protection hidden="1"/>
    </xf>
    <xf numFmtId="0" fontId="11" fillId="0" borderId="0" xfId="0" applyFont="1" applyBorder="1" applyAlignment="1" applyProtection="1">
      <alignment horizontal="left" vertical="top" indent="1"/>
      <protection hidden="1"/>
    </xf>
    <xf numFmtId="0" fontId="4" fillId="7" borderId="0" xfId="0" applyFont="1" applyFill="1" applyBorder="1" applyAlignment="1" applyProtection="1">
      <alignment horizontal="center" vertical="top"/>
      <protection hidden="1"/>
    </xf>
    <xf numFmtId="0" fontId="4" fillId="5" borderId="0" xfId="0" applyFont="1" applyFill="1" applyBorder="1" applyAlignment="1" applyProtection="1">
      <alignment horizontal="center" vertical="top"/>
      <protection hidden="1"/>
    </xf>
    <xf numFmtId="0" fontId="12" fillId="5" borderId="0" xfId="0" applyFont="1" applyFill="1" applyBorder="1" applyAlignment="1" applyProtection="1">
      <alignment horizontal="center" vertical="center"/>
      <protection hidden="1"/>
    </xf>
    <xf numFmtId="0" fontId="12" fillId="5" borderId="0" xfId="0" applyFont="1" applyFill="1" applyBorder="1" applyAlignment="1" applyProtection="1">
      <alignment horizontal="center" vertical="top"/>
      <protection hidden="1"/>
    </xf>
    <xf numFmtId="0" fontId="4" fillId="5" borderId="0" xfId="0" applyFont="1" applyFill="1" applyAlignment="1" applyProtection="1">
      <alignment horizontal="center" vertical="top"/>
      <protection hidden="1"/>
    </xf>
    <xf numFmtId="0" fontId="4" fillId="5" borderId="0" xfId="0" applyFont="1" applyFill="1" applyAlignment="1" applyProtection="1">
      <alignment vertical="top"/>
      <protection hidden="1"/>
    </xf>
    <xf numFmtId="0" fontId="4" fillId="8" borderId="0" xfId="0" applyFont="1" applyFill="1" applyAlignment="1" applyProtection="1">
      <alignment vertical="top"/>
      <protection hidden="1"/>
    </xf>
    <xf numFmtId="0" fontId="10" fillId="8" borderId="0" xfId="2" applyFont="1" applyFill="1" applyAlignment="1" applyProtection="1">
      <alignment horizontal="right" vertical="center" wrapText="1"/>
      <protection hidden="1"/>
    </xf>
    <xf numFmtId="0" fontId="10" fillId="8" borderId="0" xfId="2" applyFont="1" applyFill="1" applyAlignment="1" applyProtection="1">
      <alignment vertical="top" wrapText="1"/>
      <protection hidden="1"/>
    </xf>
    <xf numFmtId="0" fontId="4" fillId="8" borderId="0" xfId="0" applyFont="1" applyFill="1" applyProtection="1">
      <protection hidden="1"/>
    </xf>
    <xf numFmtId="0" fontId="11" fillId="5" borderId="0" xfId="0" applyFont="1" applyFill="1" applyBorder="1" applyAlignment="1" applyProtection="1">
      <alignment vertical="top"/>
      <protection hidden="1"/>
    </xf>
    <xf numFmtId="0" fontId="11" fillId="5" borderId="0" xfId="0" applyFont="1" applyFill="1" applyBorder="1" applyAlignment="1" applyProtection="1">
      <alignment horizontal="center" vertical="top"/>
      <protection hidden="1"/>
    </xf>
    <xf numFmtId="0" fontId="12" fillId="8" borderId="0" xfId="0" applyFont="1" applyFill="1" applyBorder="1" applyAlignment="1" applyProtection="1">
      <alignment horizontal="center" vertical="top"/>
      <protection hidden="1"/>
    </xf>
    <xf numFmtId="0" fontId="11" fillId="8" borderId="0" xfId="0" applyFont="1" applyFill="1" applyBorder="1" applyAlignment="1" applyProtection="1">
      <alignment vertical="top"/>
      <protection hidden="1"/>
    </xf>
    <xf numFmtId="0" fontId="11" fillId="8" borderId="0" xfId="0" applyFont="1" applyFill="1" applyBorder="1" applyAlignment="1" applyProtection="1">
      <alignment horizontal="center" vertical="top"/>
      <protection hidden="1"/>
    </xf>
    <xf numFmtId="0" fontId="12" fillId="8" borderId="0" xfId="0" applyFont="1" applyFill="1" applyBorder="1" applyAlignment="1" applyProtection="1">
      <alignment vertical="top"/>
      <protection hidden="1"/>
    </xf>
    <xf numFmtId="0" fontId="12" fillId="5" borderId="0" xfId="0" applyFont="1" applyFill="1" applyAlignment="1" applyProtection="1">
      <alignment horizontal="center" vertical="top"/>
      <protection hidden="1"/>
    </xf>
    <xf numFmtId="0" fontId="12" fillId="5" borderId="0" xfId="0" applyFont="1" applyFill="1" applyAlignment="1" applyProtection="1">
      <alignment horizontal="left" vertical="center" indent="1"/>
      <protection hidden="1"/>
    </xf>
    <xf numFmtId="0" fontId="12" fillId="5" borderId="0" xfId="0" applyFont="1" applyFill="1" applyAlignment="1" applyProtection="1">
      <alignment vertical="top"/>
      <protection hidden="1"/>
    </xf>
    <xf numFmtId="0" fontId="12" fillId="8" borderId="0" xfId="0" applyFont="1" applyFill="1" applyAlignment="1" applyProtection="1">
      <alignment vertical="center"/>
      <protection hidden="1"/>
    </xf>
    <xf numFmtId="0" fontId="12" fillId="8" borderId="0" xfId="0" applyFont="1" applyFill="1" applyAlignment="1" applyProtection="1">
      <alignment horizontal="left" vertical="center" indent="1"/>
      <protection hidden="1"/>
    </xf>
    <xf numFmtId="0" fontId="12" fillId="0" borderId="0" xfId="0" applyFont="1" applyFill="1" applyAlignment="1" applyProtection="1">
      <alignment vertical="center"/>
      <protection hidden="1"/>
    </xf>
    <xf numFmtId="0" fontId="12" fillId="8" borderId="0" xfId="0" applyFont="1" applyFill="1" applyAlignment="1" applyProtection="1">
      <alignment horizontal="center" vertical="top"/>
      <protection hidden="1"/>
    </xf>
    <xf numFmtId="0" fontId="12" fillId="8" borderId="0" xfId="0" applyFont="1" applyFill="1" applyBorder="1" applyAlignment="1" applyProtection="1">
      <alignment horizontal="center" vertical="center"/>
      <protection hidden="1"/>
    </xf>
    <xf numFmtId="0" fontId="12" fillId="8" borderId="0" xfId="0" applyFont="1" applyFill="1" applyAlignment="1" applyProtection="1">
      <alignment horizontal="left" vertical="center" wrapText="1"/>
      <protection hidden="1"/>
    </xf>
    <xf numFmtId="0" fontId="11" fillId="8" borderId="0" xfId="0" applyFont="1" applyFill="1" applyBorder="1" applyAlignment="1" applyProtection="1">
      <alignment horizontal="center" vertical="center"/>
      <protection hidden="1"/>
    </xf>
    <xf numFmtId="0" fontId="12" fillId="9" borderId="0" xfId="0" applyFont="1" applyFill="1" applyAlignment="1" applyProtection="1">
      <alignment horizontal="center" vertical="top"/>
      <protection hidden="1"/>
    </xf>
    <xf numFmtId="0" fontId="4" fillId="9" borderId="0" xfId="0" applyFont="1" applyFill="1" applyBorder="1" applyAlignment="1" applyProtection="1">
      <alignment horizontal="center" vertical="top"/>
      <protection hidden="1"/>
    </xf>
    <xf numFmtId="0" fontId="13" fillId="9" borderId="0" xfId="0" applyFont="1" applyFill="1" applyAlignment="1" applyProtection="1">
      <alignment vertical="top"/>
      <protection hidden="1"/>
    </xf>
    <xf numFmtId="0" fontId="12" fillId="9" borderId="0" xfId="0" applyFont="1" applyFill="1" applyAlignment="1" applyProtection="1">
      <alignment vertical="top"/>
      <protection hidden="1"/>
    </xf>
    <xf numFmtId="0" fontId="12" fillId="6" borderId="0" xfId="0" applyFont="1" applyFill="1" applyAlignment="1" applyProtection="1">
      <alignment vertical="top"/>
      <protection hidden="1"/>
    </xf>
    <xf numFmtId="0" fontId="12" fillId="6" borderId="0" xfId="0" applyFont="1" applyFill="1" applyAlignment="1" applyProtection="1">
      <alignment horizontal="right" vertical="center"/>
      <protection hidden="1"/>
    </xf>
    <xf numFmtId="0" fontId="4" fillId="6" borderId="0" xfId="0" applyFont="1" applyFill="1" applyAlignment="1" applyProtection="1">
      <alignment vertical="top"/>
      <protection hidden="1"/>
    </xf>
    <xf numFmtId="0" fontId="4" fillId="6" borderId="0" xfId="0" applyFont="1" applyFill="1" applyProtection="1">
      <protection hidden="1"/>
    </xf>
    <xf numFmtId="0" fontId="11" fillId="9" borderId="0" xfId="0" applyFont="1" applyFill="1" applyBorder="1" applyAlignment="1" applyProtection="1">
      <alignment vertical="top"/>
      <protection hidden="1"/>
    </xf>
    <xf numFmtId="0" fontId="11" fillId="9" borderId="0" xfId="0" applyFont="1" applyFill="1" applyBorder="1" applyAlignment="1" applyProtection="1">
      <alignment horizontal="center" vertical="center"/>
      <protection hidden="1"/>
    </xf>
    <xf numFmtId="0" fontId="4" fillId="9" borderId="0" xfId="0" applyFont="1" applyFill="1" applyAlignment="1" applyProtection="1">
      <alignment horizontal="center" vertical="top"/>
      <protection hidden="1"/>
    </xf>
    <xf numFmtId="0" fontId="12" fillId="9" borderId="0" xfId="0" applyFont="1" applyFill="1" applyAlignment="1" applyProtection="1">
      <alignment horizontal="left" vertical="center" indent="1"/>
      <protection hidden="1"/>
    </xf>
    <xf numFmtId="0" fontId="4" fillId="9" borderId="0" xfId="0" applyFont="1" applyFill="1" applyAlignment="1" applyProtection="1">
      <alignment vertical="top"/>
      <protection hidden="1"/>
    </xf>
    <xf numFmtId="0" fontId="12" fillId="6" borderId="0" xfId="0" applyFont="1" applyFill="1" applyAlignment="1" applyProtection="1">
      <alignment horizontal="left" vertical="center" indent="1"/>
      <protection hidden="1"/>
    </xf>
    <xf numFmtId="0" fontId="12" fillId="6" borderId="0" xfId="0" applyFont="1" applyFill="1" applyAlignment="1" applyProtection="1">
      <alignment horizontal="left" vertical="top" wrapText="1" indent="1"/>
      <protection hidden="1"/>
    </xf>
    <xf numFmtId="0" fontId="12" fillId="9" borderId="0" xfId="0" applyFont="1" applyFill="1" applyAlignment="1" applyProtection="1">
      <protection hidden="1"/>
    </xf>
    <xf numFmtId="0" fontId="12" fillId="6" borderId="0" xfId="0" applyFont="1" applyFill="1" applyAlignment="1" applyProtection="1">
      <alignment horizontal="center" vertical="center" wrapText="1"/>
      <protection hidden="1"/>
    </xf>
    <xf numFmtId="0" fontId="4" fillId="9" borderId="0" xfId="0" quotePrefix="1" applyFont="1" applyFill="1" applyAlignment="1" applyProtection="1">
      <alignment horizontal="center" vertical="center"/>
      <protection hidden="1"/>
    </xf>
    <xf numFmtId="0" fontId="12" fillId="6" borderId="0" xfId="0" applyFont="1" applyFill="1" applyAlignment="1" applyProtection="1">
      <alignment horizontal="left" vertical="center"/>
      <protection hidden="1"/>
    </xf>
    <xf numFmtId="0" fontId="4" fillId="7" borderId="0" xfId="0" applyFont="1" applyFill="1" applyAlignment="1" applyProtection="1">
      <alignment horizontal="center" vertical="top"/>
      <protection hidden="1"/>
    </xf>
    <xf numFmtId="0" fontId="13" fillId="7" borderId="0" xfId="0" applyFont="1" applyFill="1" applyAlignment="1" applyProtection="1">
      <alignment horizontal="right" vertical="center"/>
      <protection hidden="1"/>
    </xf>
    <xf numFmtId="0" fontId="4" fillId="7" borderId="0" xfId="0" applyFont="1" applyFill="1" applyAlignment="1" applyProtection="1">
      <alignment vertical="top"/>
      <protection hidden="1"/>
    </xf>
    <xf numFmtId="0" fontId="4" fillId="4" borderId="0" xfId="0" applyFont="1" applyFill="1" applyAlignment="1" applyProtection="1">
      <alignment vertical="top"/>
      <protection hidden="1"/>
    </xf>
    <xf numFmtId="0" fontId="11" fillId="4" borderId="0" xfId="0" applyFont="1" applyFill="1" applyBorder="1" applyAlignment="1" applyProtection="1">
      <alignment horizontal="center" vertical="center"/>
      <protection hidden="1"/>
    </xf>
    <xf numFmtId="0" fontId="11" fillId="7" borderId="0" xfId="0" applyFont="1" applyFill="1" applyBorder="1" applyAlignment="1" applyProtection="1">
      <alignment vertical="top"/>
      <protection hidden="1"/>
    </xf>
    <xf numFmtId="0" fontId="11" fillId="4" borderId="0" xfId="0" applyFont="1" applyFill="1" applyBorder="1" applyAlignment="1" applyProtection="1">
      <alignment vertical="top"/>
      <protection hidden="1"/>
    </xf>
    <xf numFmtId="0" fontId="4" fillId="4" borderId="0" xfId="0" applyFont="1" applyFill="1" applyProtection="1">
      <protection hidden="1"/>
    </xf>
    <xf numFmtId="0" fontId="12" fillId="7" borderId="0" xfId="0" applyFont="1" applyFill="1" applyAlignment="1" applyProtection="1">
      <alignment horizontal="left" vertical="center" indent="1"/>
      <protection hidden="1"/>
    </xf>
    <xf numFmtId="0" fontId="12" fillId="4" borderId="0" xfId="0" applyFont="1" applyFill="1" applyAlignment="1" applyProtection="1">
      <alignment vertical="center"/>
      <protection hidden="1"/>
    </xf>
    <xf numFmtId="0" fontId="12" fillId="4" borderId="0" xfId="0" applyFont="1" applyFill="1" applyAlignment="1" applyProtection="1">
      <alignment horizontal="center" vertical="center"/>
      <protection hidden="1"/>
    </xf>
    <xf numFmtId="0" fontId="12" fillId="4" borderId="0" xfId="0" applyFont="1" applyFill="1" applyAlignment="1" applyProtection="1">
      <alignment horizontal="left" vertical="center" indent="1"/>
      <protection hidden="1"/>
    </xf>
    <xf numFmtId="0" fontId="11" fillId="4" borderId="0" xfId="0" applyFont="1" applyFill="1" applyAlignment="1" applyProtection="1">
      <alignment vertical="center"/>
      <protection hidden="1"/>
    </xf>
    <xf numFmtId="0" fontId="4" fillId="0" borderId="0" xfId="0" applyFont="1" applyAlignment="1" applyProtection="1">
      <alignment horizontal="center" vertical="top"/>
      <protection hidden="1"/>
    </xf>
    <xf numFmtId="0" fontId="13" fillId="0" borderId="0" xfId="0" applyFont="1" applyFill="1" applyAlignment="1" applyProtection="1">
      <alignment horizontal="right" vertical="center"/>
      <protection hidden="1"/>
    </xf>
    <xf numFmtId="0" fontId="4" fillId="0" borderId="0" xfId="0" applyFont="1" applyFill="1" applyBorder="1" applyAlignment="1" applyProtection="1">
      <alignment horizontal="right" vertical="center"/>
      <protection hidden="1"/>
    </xf>
    <xf numFmtId="0" fontId="11" fillId="0" borderId="0" xfId="0" applyFont="1" applyFill="1" applyBorder="1" applyAlignment="1" applyProtection="1">
      <alignment vertical="center"/>
      <protection hidden="1"/>
    </xf>
    <xf numFmtId="0" fontId="12" fillId="0" borderId="0" xfId="0" applyFont="1" applyFill="1" applyAlignment="1" applyProtection="1">
      <alignment horizontal="center" vertical="top"/>
      <protection hidden="1"/>
    </xf>
    <xf numFmtId="3" fontId="11" fillId="0" borderId="0" xfId="0" applyNumberFormat="1" applyFont="1" applyFill="1" applyBorder="1" applyAlignment="1" applyProtection="1">
      <alignment vertical="center"/>
      <protection hidden="1"/>
    </xf>
    <xf numFmtId="3" fontId="12" fillId="0" borderId="0" xfId="0" applyNumberFormat="1" applyFont="1" applyFill="1" applyBorder="1" applyAlignment="1" applyProtection="1">
      <alignment vertical="center"/>
      <protection hidden="1"/>
    </xf>
    <xf numFmtId="0" fontId="4" fillId="0" borderId="0" xfId="0" applyFont="1" applyFill="1" applyAlignment="1" applyProtection="1">
      <alignment horizontal="center" vertical="top"/>
      <protection hidden="1"/>
    </xf>
    <xf numFmtId="0" fontId="11" fillId="0" borderId="0" xfId="0" applyFont="1" applyFill="1" applyAlignment="1" applyProtection="1">
      <alignment horizontal="left" vertical="center"/>
      <protection hidden="1"/>
    </xf>
    <xf numFmtId="0" fontId="12" fillId="0" borderId="0" xfId="0" applyFont="1" applyFill="1" applyBorder="1" applyAlignment="1" applyProtection="1">
      <alignment horizontal="center" vertical="center"/>
      <protection hidden="1"/>
    </xf>
    <xf numFmtId="0" fontId="11" fillId="5" borderId="0" xfId="0" applyFont="1" applyFill="1" applyBorder="1" applyAlignment="1" applyProtection="1">
      <alignment horizontal="center" vertical="center"/>
      <protection hidden="1"/>
    </xf>
    <xf numFmtId="0" fontId="13" fillId="10" borderId="0" xfId="0" applyFont="1" applyFill="1" applyAlignment="1" applyProtection="1">
      <alignment horizontal="right" vertical="center"/>
      <protection hidden="1"/>
    </xf>
    <xf numFmtId="0" fontId="4" fillId="10" borderId="0" xfId="0" applyFont="1" applyFill="1" applyBorder="1" applyAlignment="1" applyProtection="1">
      <alignment horizontal="center" vertical="top"/>
      <protection hidden="1"/>
    </xf>
    <xf numFmtId="0" fontId="4" fillId="10" borderId="0" xfId="0" applyFont="1" applyFill="1" applyAlignment="1" applyProtection="1">
      <alignment vertical="top"/>
      <protection hidden="1"/>
    </xf>
    <xf numFmtId="0" fontId="4" fillId="10" borderId="0" xfId="0" applyFont="1" applyFill="1" applyProtection="1">
      <protection hidden="1"/>
    </xf>
    <xf numFmtId="0" fontId="4" fillId="10" borderId="0" xfId="0" applyFont="1" applyFill="1" applyProtection="1"/>
    <xf numFmtId="0" fontId="4" fillId="10" borderId="0" xfId="0" applyFont="1" applyFill="1" applyAlignment="1" applyProtection="1">
      <alignment vertical="top"/>
    </xf>
    <xf numFmtId="0" fontId="12" fillId="10" borderId="0" xfId="0" applyFont="1" applyFill="1" applyAlignment="1" applyProtection="1">
      <alignment horizontal="center" vertical="top"/>
    </xf>
    <xf numFmtId="0" fontId="12" fillId="0" borderId="0" xfId="0" applyFont="1" applyFill="1" applyBorder="1" applyAlignment="1" applyProtection="1">
      <alignment horizontal="left" vertical="center"/>
    </xf>
    <xf numFmtId="0" fontId="4" fillId="0" borderId="1" xfId="0" applyFont="1" applyFill="1" applyBorder="1" applyAlignment="1" applyProtection="1">
      <alignment horizontal="center" vertical="top"/>
    </xf>
    <xf numFmtId="0" fontId="4" fillId="0" borderId="1" xfId="0" applyFont="1" applyFill="1" applyBorder="1" applyAlignment="1" applyProtection="1">
      <alignment vertical="top"/>
    </xf>
    <xf numFmtId="0" fontId="12" fillId="8" borderId="0" xfId="0" applyFont="1" applyFill="1" applyAlignment="1" applyProtection="1">
      <alignment horizontal="left" vertical="center"/>
      <protection hidden="1"/>
    </xf>
    <xf numFmtId="0" fontId="13" fillId="0" borderId="0" xfId="0" applyFont="1" applyFill="1" applyBorder="1" applyAlignment="1" applyProtection="1">
      <alignment vertical="center"/>
      <protection hidden="1"/>
    </xf>
    <xf numFmtId="0" fontId="11" fillId="6" borderId="0" xfId="0" applyFont="1" applyFill="1" applyAlignment="1" applyProtection="1">
      <alignment horizontal="left" vertical="top" indent="1"/>
      <protection hidden="1"/>
    </xf>
    <xf numFmtId="0" fontId="12" fillId="9" borderId="0" xfId="0" applyFont="1" applyFill="1" applyAlignment="1" applyProtection="1">
      <alignment horizontal="right" vertical="center"/>
      <protection hidden="1"/>
    </xf>
    <xf numFmtId="0" fontId="12" fillId="3" borderId="6" xfId="0" applyFont="1" applyFill="1" applyBorder="1" applyAlignment="1" applyProtection="1">
      <alignment horizontal="center" vertical="center"/>
      <protection locked="0" hidden="1"/>
    </xf>
    <xf numFmtId="0" fontId="12" fillId="11" borderId="0" xfId="0" applyFont="1" applyFill="1" applyAlignment="1" applyProtection="1">
      <alignment horizontal="center" vertical="center"/>
      <protection hidden="1"/>
    </xf>
    <xf numFmtId="3" fontId="11" fillId="11" borderId="0" xfId="0" applyNumberFormat="1" applyFont="1" applyFill="1" applyBorder="1" applyAlignment="1" applyProtection="1">
      <alignment horizontal="left" vertical="center"/>
      <protection hidden="1"/>
    </xf>
    <xf numFmtId="0" fontId="11" fillId="11" borderId="0" xfId="0" applyFont="1" applyFill="1" applyBorder="1" applyAlignment="1" applyProtection="1">
      <alignment horizontal="center" vertical="center"/>
      <protection hidden="1"/>
    </xf>
    <xf numFmtId="3" fontId="11" fillId="11" borderId="0" xfId="0" applyNumberFormat="1" applyFont="1" applyFill="1" applyBorder="1" applyAlignment="1" applyProtection="1">
      <alignment horizontal="center" vertical="center"/>
      <protection hidden="1"/>
    </xf>
    <xf numFmtId="0" fontId="12" fillId="11" borderId="0" xfId="0" applyFont="1" applyFill="1" applyAlignment="1" applyProtection="1">
      <alignment horizontal="left" vertical="center" indent="1"/>
      <protection hidden="1"/>
    </xf>
    <xf numFmtId="0" fontId="11" fillId="11" borderId="0" xfId="0" applyFont="1" applyFill="1" applyAlignment="1" applyProtection="1">
      <alignment horizontal="left" vertical="top" indent="1"/>
      <protection hidden="1"/>
    </xf>
    <xf numFmtId="0" fontId="19" fillId="11" borderId="0" xfId="0" applyFont="1" applyFill="1" applyBorder="1" applyAlignment="1" applyProtection="1">
      <alignment horizontal="left" vertical="center" indent="1"/>
      <protection hidden="1"/>
    </xf>
    <xf numFmtId="0" fontId="12" fillId="11" borderId="0" xfId="0" applyFont="1" applyFill="1" applyBorder="1" applyAlignment="1" applyProtection="1">
      <alignment horizontal="center" vertical="center"/>
      <protection hidden="1"/>
    </xf>
    <xf numFmtId="2" fontId="11" fillId="11" borderId="0" xfId="0" applyNumberFormat="1" applyFont="1" applyFill="1" applyBorder="1" applyAlignment="1" applyProtection="1">
      <alignment horizontal="center" vertical="center"/>
      <protection hidden="1"/>
    </xf>
    <xf numFmtId="0" fontId="4" fillId="11" borderId="0" xfId="0" applyFont="1" applyFill="1" applyAlignment="1" applyProtection="1">
      <alignment vertical="top"/>
    </xf>
    <xf numFmtId="0" fontId="12" fillId="7" borderId="0" xfId="0" applyFont="1" applyFill="1" applyBorder="1" applyAlignment="1" applyProtection="1">
      <alignment vertical="top" wrapText="1"/>
      <protection hidden="1"/>
    </xf>
    <xf numFmtId="0" fontId="4" fillId="0" borderId="0" xfId="0" applyFont="1" applyAlignment="1" applyProtection="1">
      <alignment vertical="center"/>
    </xf>
    <xf numFmtId="0" fontId="12" fillId="0" borderId="0" xfId="0" applyFont="1" applyFill="1" applyBorder="1" applyAlignment="1" applyProtection="1">
      <alignment horizontal="left" vertical="center"/>
      <protection hidden="1"/>
    </xf>
    <xf numFmtId="0" fontId="11" fillId="6" borderId="0" xfId="0" applyFont="1" applyFill="1" applyBorder="1" applyAlignment="1" applyProtection="1">
      <alignment horizontal="center" vertical="center"/>
      <protection hidden="1"/>
    </xf>
    <xf numFmtId="0" fontId="4" fillId="6" borderId="0" xfId="0" applyFont="1" applyFill="1" applyAlignment="1" applyProtection="1">
      <alignment vertical="top"/>
    </xf>
    <xf numFmtId="0" fontId="12" fillId="6" borderId="0" xfId="0" applyFont="1" applyFill="1" applyAlignment="1" applyProtection="1">
      <alignment horizontal="center" vertical="center"/>
      <protection hidden="1"/>
    </xf>
    <xf numFmtId="3" fontId="11" fillId="6" borderId="0" xfId="0" applyNumberFormat="1" applyFont="1" applyFill="1" applyBorder="1" applyAlignment="1" applyProtection="1">
      <alignment horizontal="center" vertical="center"/>
      <protection hidden="1"/>
    </xf>
    <xf numFmtId="0" fontId="4" fillId="6" borderId="0" xfId="0" applyFont="1" applyFill="1" applyBorder="1" applyAlignment="1" applyProtection="1">
      <alignment horizontal="center" vertical="top"/>
    </xf>
    <xf numFmtId="3" fontId="11" fillId="6" borderId="0" xfId="0" applyNumberFormat="1" applyFont="1" applyFill="1" applyBorder="1" applyAlignment="1" applyProtection="1">
      <alignment horizontal="left" vertical="center" indent="1"/>
      <protection hidden="1"/>
    </xf>
    <xf numFmtId="0" fontId="18" fillId="6" borderId="0" xfId="0" applyFont="1" applyFill="1" applyBorder="1" applyAlignment="1" applyProtection="1">
      <alignment horizontal="right" vertical="center"/>
      <protection hidden="1"/>
    </xf>
    <xf numFmtId="0" fontId="12" fillId="6" borderId="0" xfId="0" applyFont="1" applyFill="1" applyBorder="1" applyAlignment="1" applyProtection="1">
      <alignment horizontal="left" vertical="center" indent="1"/>
      <protection hidden="1"/>
    </xf>
    <xf numFmtId="0" fontId="13" fillId="6" borderId="0" xfId="0" applyFont="1" applyFill="1" applyBorder="1" applyAlignment="1" applyProtection="1">
      <alignment horizontal="center" vertical="center"/>
      <protection hidden="1"/>
    </xf>
    <xf numFmtId="0" fontId="19" fillId="6" borderId="0" xfId="0" applyFont="1" applyFill="1" applyBorder="1" applyAlignment="1" applyProtection="1">
      <alignment horizontal="left" vertical="center"/>
      <protection hidden="1"/>
    </xf>
    <xf numFmtId="0" fontId="12" fillId="6" borderId="0" xfId="0" applyFont="1" applyFill="1" applyAlignment="1" applyProtection="1">
      <alignment horizontal="center" vertical="center"/>
    </xf>
    <xf numFmtId="0" fontId="4" fillId="6" borderId="0" xfId="0" applyFont="1" applyFill="1" applyProtection="1"/>
    <xf numFmtId="0" fontId="22" fillId="6" borderId="0" xfId="0" applyFont="1" applyFill="1" applyBorder="1" applyAlignment="1" applyProtection="1">
      <alignment horizontal="center"/>
      <protection hidden="1"/>
    </xf>
    <xf numFmtId="3" fontId="12" fillId="6" borderId="0" xfId="0" applyNumberFormat="1" applyFont="1" applyFill="1" applyBorder="1" applyAlignment="1" applyProtection="1">
      <alignment vertical="center"/>
      <protection hidden="1"/>
    </xf>
    <xf numFmtId="0" fontId="12" fillId="6" borderId="0" xfId="0" applyFont="1" applyFill="1" applyBorder="1" applyAlignment="1" applyProtection="1">
      <alignment vertical="top"/>
      <protection hidden="1"/>
    </xf>
    <xf numFmtId="0" fontId="19" fillId="6" borderId="0" xfId="0" applyFont="1" applyFill="1" applyBorder="1" applyAlignment="1" applyProtection="1">
      <alignment horizontal="left" vertical="center" indent="1"/>
      <protection hidden="1"/>
    </xf>
    <xf numFmtId="2" fontId="12" fillId="6" borderId="0" xfId="0" applyNumberFormat="1" applyFont="1" applyFill="1" applyBorder="1" applyAlignment="1" applyProtection="1">
      <alignment horizontal="center" vertical="center"/>
      <protection hidden="1"/>
    </xf>
    <xf numFmtId="0" fontId="23" fillId="6" borderId="0" xfId="0" applyFont="1" applyFill="1" applyAlignment="1" applyProtection="1">
      <alignment horizontal="center" vertical="center"/>
      <protection hidden="1"/>
    </xf>
    <xf numFmtId="0" fontId="23" fillId="11" borderId="0" xfId="0" applyFont="1" applyFill="1" applyAlignment="1" applyProtection="1">
      <alignment horizontal="center" vertical="center"/>
      <protection hidden="1"/>
    </xf>
    <xf numFmtId="3" fontId="11" fillId="6" borderId="0" xfId="0" applyNumberFormat="1" applyFont="1" applyFill="1" applyBorder="1" applyAlignment="1" applyProtection="1">
      <alignment horizontal="left" vertical="center"/>
      <protection hidden="1"/>
    </xf>
    <xf numFmtId="0" fontId="12" fillId="13" borderId="0" xfId="0" applyFont="1" applyFill="1" applyAlignment="1" applyProtection="1">
      <alignment vertical="center"/>
      <protection hidden="1"/>
    </xf>
    <xf numFmtId="3" fontId="8" fillId="13" borderId="0" xfId="0" applyNumberFormat="1" applyFont="1" applyFill="1" applyBorder="1" applyAlignment="1" applyProtection="1">
      <alignment horizontal="left" vertical="center"/>
      <protection hidden="1"/>
    </xf>
    <xf numFmtId="0" fontId="4" fillId="13" borderId="0" xfId="0" applyFont="1" applyFill="1" applyBorder="1" applyAlignment="1" applyProtection="1">
      <alignment horizontal="center" vertical="top"/>
    </xf>
    <xf numFmtId="0" fontId="11" fillId="13" borderId="0" xfId="0" applyFont="1" applyFill="1" applyBorder="1" applyAlignment="1" applyProtection="1">
      <alignment horizontal="center" vertical="center"/>
      <protection hidden="1"/>
    </xf>
    <xf numFmtId="0" fontId="4" fillId="13" borderId="0" xfId="0" applyFont="1" applyFill="1" applyAlignment="1" applyProtection="1">
      <alignment vertical="top"/>
    </xf>
    <xf numFmtId="3" fontId="11" fillId="13" borderId="0" xfId="0" applyNumberFormat="1" applyFont="1" applyFill="1" applyBorder="1" applyAlignment="1" applyProtection="1">
      <alignment horizontal="left" vertical="center"/>
      <protection hidden="1"/>
    </xf>
    <xf numFmtId="0" fontId="4" fillId="13" borderId="0" xfId="0" applyFont="1" applyFill="1" applyProtection="1">
      <protection hidden="1"/>
    </xf>
    <xf numFmtId="0" fontId="11" fillId="13" borderId="0" xfId="0" applyFont="1" applyFill="1" applyAlignment="1" applyProtection="1">
      <alignment horizontal="left" vertical="top" indent="1"/>
      <protection hidden="1"/>
    </xf>
    <xf numFmtId="0" fontId="13" fillId="13" borderId="0" xfId="0" applyFont="1" applyFill="1" applyBorder="1" applyAlignment="1" applyProtection="1">
      <alignment horizontal="center" vertical="center"/>
      <protection hidden="1"/>
    </xf>
    <xf numFmtId="0" fontId="12" fillId="13" borderId="0" xfId="0" applyFont="1" applyFill="1" applyBorder="1" applyAlignment="1" applyProtection="1">
      <alignment horizontal="center" vertical="center"/>
      <protection hidden="1"/>
    </xf>
    <xf numFmtId="0" fontId="12" fillId="13" borderId="0" xfId="0" applyFont="1" applyFill="1" applyBorder="1" applyAlignment="1" applyProtection="1">
      <alignment vertical="center"/>
      <protection hidden="1"/>
    </xf>
    <xf numFmtId="0" fontId="4" fillId="13" borderId="0" xfId="0" applyFont="1" applyFill="1" applyProtection="1"/>
    <xf numFmtId="0" fontId="12" fillId="6" borderId="0" xfId="0" applyFont="1" applyFill="1" applyAlignment="1" applyProtection="1">
      <alignment horizontal="left" vertical="center" indent="1"/>
    </xf>
    <xf numFmtId="0" fontId="24" fillId="6" borderId="0" xfId="0" applyFont="1" applyFill="1" applyBorder="1" applyAlignment="1" applyProtection="1">
      <alignment horizontal="left" vertical="center" indent="1"/>
      <protection hidden="1"/>
    </xf>
    <xf numFmtId="0" fontId="12" fillId="13" borderId="0" xfId="0" applyFont="1" applyFill="1" applyProtection="1">
      <protection hidden="1"/>
    </xf>
    <xf numFmtId="0" fontId="19" fillId="6" borderId="0" xfId="0" applyFont="1" applyFill="1" applyBorder="1" applyAlignment="1" applyProtection="1">
      <alignment horizontal="center" vertical="center"/>
      <protection hidden="1"/>
    </xf>
    <xf numFmtId="0" fontId="12" fillId="14" borderId="0" xfId="0" applyFont="1" applyFill="1" applyAlignment="1" applyProtection="1">
      <alignment vertical="center"/>
      <protection hidden="1"/>
    </xf>
    <xf numFmtId="3" fontId="8" fillId="14" borderId="0" xfId="0" applyNumberFormat="1" applyFont="1" applyFill="1" applyBorder="1" applyAlignment="1" applyProtection="1">
      <alignment horizontal="left" vertical="center"/>
      <protection hidden="1"/>
    </xf>
    <xf numFmtId="0" fontId="4" fillId="14" borderId="0" xfId="0" applyFont="1" applyFill="1" applyBorder="1" applyAlignment="1" applyProtection="1">
      <alignment horizontal="center" vertical="top"/>
    </xf>
    <xf numFmtId="0" fontId="11" fillId="14" borderId="0" xfId="0" applyFont="1" applyFill="1" applyBorder="1" applyAlignment="1" applyProtection="1">
      <alignment horizontal="center" vertical="center"/>
      <protection hidden="1"/>
    </xf>
    <xf numFmtId="0" fontId="4" fillId="14" borderId="0" xfId="0" applyFont="1" applyFill="1" applyAlignment="1" applyProtection="1">
      <alignment vertical="top"/>
    </xf>
    <xf numFmtId="3" fontId="11" fillId="14" borderId="0" xfId="0" applyNumberFormat="1" applyFont="1" applyFill="1" applyBorder="1" applyAlignment="1" applyProtection="1">
      <alignment horizontal="left" vertical="center"/>
      <protection hidden="1"/>
    </xf>
    <xf numFmtId="0" fontId="4" fillId="14" borderId="0" xfId="0" applyFont="1" applyFill="1" applyProtection="1">
      <protection hidden="1"/>
    </xf>
    <xf numFmtId="0" fontId="11" fillId="14" borderId="0" xfId="0" applyFont="1" applyFill="1" applyAlignment="1" applyProtection="1">
      <alignment horizontal="left" vertical="top" indent="1"/>
      <protection hidden="1"/>
    </xf>
    <xf numFmtId="0" fontId="13" fillId="14" borderId="0" xfId="0" applyFont="1" applyFill="1" applyBorder="1" applyAlignment="1" applyProtection="1">
      <alignment horizontal="center" vertical="center"/>
      <protection hidden="1"/>
    </xf>
    <xf numFmtId="0" fontId="12" fillId="14" borderId="0" xfId="0" applyFont="1" applyFill="1" applyBorder="1" applyAlignment="1" applyProtection="1">
      <alignment horizontal="center" vertical="center"/>
      <protection hidden="1"/>
    </xf>
    <xf numFmtId="0" fontId="12" fillId="14" borderId="0" xfId="0" applyFont="1" applyFill="1" applyBorder="1" applyAlignment="1" applyProtection="1">
      <alignment vertical="center"/>
      <protection hidden="1"/>
    </xf>
    <xf numFmtId="0" fontId="4" fillId="14" borderId="0" xfId="0" applyFont="1" applyFill="1" applyProtection="1"/>
    <xf numFmtId="0" fontId="23" fillId="5" borderId="0" xfId="0" applyFont="1" applyFill="1" applyAlignment="1" applyProtection="1">
      <alignment horizontal="center" vertical="center"/>
      <protection hidden="1"/>
    </xf>
    <xf numFmtId="0" fontId="12" fillId="5" borderId="0" xfId="0" applyFont="1" applyFill="1" applyProtection="1"/>
    <xf numFmtId="0" fontId="12" fillId="5" borderId="0" xfId="0" applyFont="1" applyFill="1" applyAlignment="1" applyProtection="1">
      <alignment horizontal="center" vertical="center"/>
      <protection hidden="1"/>
    </xf>
    <xf numFmtId="0" fontId="13" fillId="5" borderId="0" xfId="0" applyFont="1" applyFill="1" applyBorder="1" applyAlignment="1" applyProtection="1">
      <alignment horizontal="center" vertical="center"/>
      <protection hidden="1"/>
    </xf>
    <xf numFmtId="0" fontId="4" fillId="5" borderId="0" xfId="0" applyFont="1" applyFill="1" applyAlignment="1" applyProtection="1">
      <alignment vertical="top"/>
    </xf>
    <xf numFmtId="3" fontId="12" fillId="5" borderId="0" xfId="0" applyNumberFormat="1" applyFont="1" applyFill="1" applyBorder="1" applyAlignment="1" applyProtection="1">
      <alignment vertical="center"/>
      <protection hidden="1"/>
    </xf>
    <xf numFmtId="0" fontId="12" fillId="5" borderId="0" xfId="0" applyFont="1" applyFill="1" applyBorder="1" applyAlignment="1" applyProtection="1">
      <alignment vertical="top"/>
      <protection hidden="1"/>
    </xf>
    <xf numFmtId="0" fontId="12" fillId="16" borderId="0" xfId="0" applyFont="1" applyFill="1" applyAlignment="1" applyProtection="1">
      <alignment vertical="center"/>
      <protection hidden="1"/>
    </xf>
    <xf numFmtId="3" fontId="8" fillId="16" borderId="0" xfId="0" applyNumberFormat="1" applyFont="1" applyFill="1" applyBorder="1" applyAlignment="1" applyProtection="1">
      <alignment horizontal="left" vertical="center"/>
      <protection hidden="1"/>
    </xf>
    <xf numFmtId="0" fontId="4" fillId="16" borderId="0" xfId="0" applyFont="1" applyFill="1" applyBorder="1" applyAlignment="1" applyProtection="1">
      <alignment horizontal="center" vertical="top"/>
    </xf>
    <xf numFmtId="0" fontId="11" fillId="16" borderId="0" xfId="0" applyFont="1" applyFill="1" applyBorder="1" applyAlignment="1" applyProtection="1">
      <alignment horizontal="center" vertical="center"/>
      <protection hidden="1"/>
    </xf>
    <xf numFmtId="0" fontId="4" fillId="16" borderId="0" xfId="0" applyFont="1" applyFill="1" applyAlignment="1" applyProtection="1">
      <alignment vertical="top"/>
    </xf>
    <xf numFmtId="0" fontId="13" fillId="16" borderId="0" xfId="0" applyFont="1" applyFill="1" applyBorder="1" applyAlignment="1" applyProtection="1">
      <alignment horizontal="center" vertical="center"/>
      <protection hidden="1"/>
    </xf>
    <xf numFmtId="0" fontId="12" fillId="16" borderId="0" xfId="0" applyFont="1" applyFill="1" applyBorder="1" applyAlignment="1" applyProtection="1">
      <alignment horizontal="center" vertical="center"/>
      <protection hidden="1"/>
    </xf>
    <xf numFmtId="0" fontId="12" fillId="16" borderId="0" xfId="0" applyFont="1" applyFill="1" applyBorder="1" applyAlignment="1" applyProtection="1">
      <alignment vertical="center"/>
      <protection hidden="1"/>
    </xf>
    <xf numFmtId="0" fontId="4" fillId="16" borderId="0" xfId="0" applyFont="1" applyFill="1" applyProtection="1"/>
    <xf numFmtId="4" fontId="11" fillId="11" borderId="0" xfId="0" applyNumberFormat="1" applyFont="1" applyFill="1" applyBorder="1" applyAlignment="1" applyProtection="1">
      <alignment horizontal="center" vertical="center"/>
      <protection hidden="1"/>
    </xf>
    <xf numFmtId="9" fontId="11" fillId="11" borderId="0" xfId="3" applyFont="1" applyFill="1" applyBorder="1" applyAlignment="1" applyProtection="1">
      <alignment horizontal="center" vertical="center"/>
      <protection hidden="1"/>
    </xf>
    <xf numFmtId="0" fontId="23" fillId="7" borderId="0" xfId="0" applyFont="1" applyFill="1" applyAlignment="1" applyProtection="1">
      <alignment horizontal="center" vertical="center"/>
      <protection hidden="1"/>
    </xf>
    <xf numFmtId="0" fontId="11" fillId="7" borderId="0" xfId="0" applyFont="1" applyFill="1" applyBorder="1" applyAlignment="1" applyProtection="1">
      <alignment horizontal="center" vertical="center"/>
      <protection hidden="1"/>
    </xf>
    <xf numFmtId="0" fontId="4" fillId="7" borderId="0" xfId="0" applyFont="1" applyFill="1" applyAlignment="1" applyProtection="1">
      <alignment vertical="top"/>
    </xf>
    <xf numFmtId="0" fontId="11" fillId="7" borderId="0" xfId="0" applyFont="1" applyFill="1" applyAlignment="1" applyProtection="1">
      <alignment horizontal="left" vertical="top" indent="1"/>
      <protection hidden="1"/>
    </xf>
    <xf numFmtId="9" fontId="12" fillId="7" borderId="0" xfId="3" applyFont="1" applyFill="1" applyBorder="1" applyAlignment="1" applyProtection="1">
      <alignment horizontal="center" vertical="center"/>
      <protection hidden="1"/>
    </xf>
    <xf numFmtId="0" fontId="19" fillId="7" borderId="0" xfId="0" applyFont="1" applyFill="1" applyBorder="1" applyAlignment="1" applyProtection="1">
      <alignment horizontal="left" vertical="center" indent="1"/>
      <protection hidden="1"/>
    </xf>
    <xf numFmtId="0" fontId="12" fillId="7" borderId="0" xfId="0" applyFont="1" applyFill="1" applyBorder="1" applyAlignment="1" applyProtection="1">
      <alignment horizontal="center" vertical="center"/>
      <protection hidden="1"/>
    </xf>
    <xf numFmtId="0" fontId="4" fillId="7" borderId="0" xfId="0" applyFont="1" applyFill="1" applyProtection="1"/>
    <xf numFmtId="0" fontId="4" fillId="7" borderId="0" xfId="0" applyFont="1" applyFill="1" applyBorder="1" applyAlignment="1" applyProtection="1">
      <alignment horizontal="center" vertical="top"/>
    </xf>
    <xf numFmtId="0" fontId="4" fillId="7" borderId="0" xfId="0" applyFont="1" applyFill="1" applyBorder="1" applyAlignment="1" applyProtection="1">
      <alignment horizontal="left" vertical="top"/>
    </xf>
    <xf numFmtId="0" fontId="12" fillId="7" borderId="0" xfId="0" applyFont="1" applyFill="1" applyAlignment="1" applyProtection="1">
      <alignment horizontal="center" vertical="center"/>
    </xf>
    <xf numFmtId="0" fontId="12" fillId="7" borderId="0" xfId="0" applyFont="1" applyFill="1" applyAlignment="1" applyProtection="1">
      <alignment vertical="top"/>
    </xf>
    <xf numFmtId="0" fontId="12" fillId="7" borderId="0" xfId="0" applyFont="1" applyFill="1" applyProtection="1"/>
    <xf numFmtId="2" fontId="12" fillId="7" borderId="0" xfId="0" applyNumberFormat="1" applyFont="1" applyFill="1" applyBorder="1" applyAlignment="1" applyProtection="1">
      <alignment horizontal="left" vertical="center"/>
      <protection hidden="1"/>
    </xf>
    <xf numFmtId="0" fontId="12" fillId="7" borderId="0" xfId="0" applyFont="1" applyFill="1" applyAlignment="1" applyProtection="1">
      <alignment horizontal="center" vertical="center"/>
      <protection hidden="1"/>
    </xf>
    <xf numFmtId="3" fontId="11" fillId="7" borderId="0" xfId="0" applyNumberFormat="1" applyFont="1" applyFill="1" applyBorder="1" applyAlignment="1" applyProtection="1">
      <alignment horizontal="center" vertical="center"/>
      <protection hidden="1"/>
    </xf>
    <xf numFmtId="0" fontId="12" fillId="7" borderId="0" xfId="0" applyFont="1" applyFill="1" applyBorder="1" applyAlignment="1" applyProtection="1">
      <alignment horizontal="left" vertical="center" indent="1"/>
      <protection hidden="1"/>
    </xf>
    <xf numFmtId="0" fontId="13" fillId="7" borderId="0" xfId="0" applyFont="1" applyFill="1" applyBorder="1" applyAlignment="1" applyProtection="1">
      <alignment horizontal="center" vertical="center"/>
      <protection hidden="1"/>
    </xf>
    <xf numFmtId="3" fontId="12" fillId="7" borderId="0" xfId="0" applyNumberFormat="1" applyFont="1" applyFill="1" applyBorder="1" applyAlignment="1" applyProtection="1">
      <alignment vertical="center"/>
      <protection hidden="1"/>
    </xf>
    <xf numFmtId="0" fontId="12" fillId="7" borderId="0" xfId="0" applyFont="1" applyFill="1" applyBorder="1" applyAlignment="1" applyProtection="1">
      <alignment vertical="top"/>
      <protection hidden="1"/>
    </xf>
    <xf numFmtId="2" fontId="12" fillId="11" borderId="0" xfId="0" applyNumberFormat="1" applyFont="1" applyFill="1" applyBorder="1" applyAlignment="1" applyProtection="1">
      <alignment horizontal="left" vertical="center"/>
      <protection hidden="1"/>
    </xf>
    <xf numFmtId="3" fontId="12" fillId="16" borderId="0" xfId="0" applyNumberFormat="1" applyFont="1" applyFill="1" applyBorder="1" applyAlignment="1" applyProtection="1">
      <alignment horizontal="left" vertical="center"/>
      <protection hidden="1"/>
    </xf>
    <xf numFmtId="3" fontId="12" fillId="16" borderId="0" xfId="0" applyNumberFormat="1" applyFont="1" applyFill="1" applyBorder="1" applyAlignment="1" applyProtection="1">
      <alignment horizontal="center" vertical="center"/>
      <protection hidden="1"/>
    </xf>
    <xf numFmtId="0" fontId="12" fillId="16" borderId="0" xfId="0" applyFont="1" applyFill="1" applyAlignment="1" applyProtection="1">
      <alignment horizontal="center"/>
      <protection hidden="1"/>
    </xf>
    <xf numFmtId="0" fontId="12" fillId="16" borderId="0" xfId="0" applyFont="1" applyFill="1" applyAlignment="1" applyProtection="1">
      <alignment horizontal="center" vertical="top"/>
      <protection hidden="1"/>
    </xf>
    <xf numFmtId="4" fontId="11" fillId="7" borderId="0" xfId="0" applyNumberFormat="1" applyFont="1" applyFill="1" applyBorder="1" applyAlignment="1" applyProtection="1">
      <alignment horizontal="center" vertical="center"/>
      <protection hidden="1"/>
    </xf>
    <xf numFmtId="0" fontId="12" fillId="11" borderId="0" xfId="0" applyFont="1" applyFill="1" applyAlignment="1" applyProtection="1">
      <alignment horizontal="center" vertical="center"/>
    </xf>
    <xf numFmtId="0" fontId="12" fillId="7" borderId="0" xfId="0" applyFont="1" applyFill="1" applyAlignment="1" applyProtection="1">
      <alignment horizontal="center" vertical="top"/>
    </xf>
    <xf numFmtId="0" fontId="5" fillId="14" borderId="0" xfId="0" applyFont="1" applyFill="1" applyAlignment="1" applyProtection="1">
      <alignment horizontal="center" vertical="center"/>
    </xf>
    <xf numFmtId="0" fontId="4" fillId="14" borderId="0" xfId="0" applyFont="1" applyFill="1" applyAlignment="1" applyProtection="1">
      <alignment vertical="center"/>
    </xf>
    <xf numFmtId="0" fontId="5" fillId="13" borderId="0" xfId="0" applyFont="1" applyFill="1" applyAlignment="1" applyProtection="1">
      <alignment horizontal="center" vertical="center"/>
    </xf>
    <xf numFmtId="9" fontId="5" fillId="13" borderId="0" xfId="3" applyFont="1" applyFill="1" applyAlignment="1" applyProtection="1">
      <alignment horizontal="center" vertical="center"/>
    </xf>
    <xf numFmtId="10" fontId="5" fillId="13" borderId="0" xfId="3" applyNumberFormat="1" applyFont="1" applyFill="1" applyAlignment="1" applyProtection="1">
      <alignment horizontal="center" vertical="center"/>
    </xf>
    <xf numFmtId="0" fontId="5" fillId="16" borderId="0" xfId="0" applyFont="1" applyFill="1" applyAlignment="1" applyProtection="1">
      <alignment horizontal="center" vertical="center"/>
    </xf>
    <xf numFmtId="0" fontId="5" fillId="13" borderId="0" xfId="0" applyFont="1" applyFill="1" applyAlignment="1" applyProtection="1">
      <alignment horizontal="left" vertical="center"/>
    </xf>
    <xf numFmtId="0" fontId="11"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5" fillId="18" borderId="0" xfId="0" applyFont="1" applyFill="1" applyAlignment="1" applyProtection="1">
      <alignment horizontal="center" vertical="center"/>
    </xf>
    <xf numFmtId="0" fontId="12" fillId="8" borderId="0" xfId="0" applyFont="1" applyFill="1" applyAlignment="1" applyProtection="1">
      <alignment horizontal="left" vertical="top" wrapText="1" indent="1"/>
      <protection hidden="1"/>
    </xf>
    <xf numFmtId="0" fontId="12" fillId="6" borderId="0" xfId="0" applyFont="1" applyFill="1" applyAlignment="1" applyProtection="1">
      <alignment horizontal="left" vertical="center" wrapText="1"/>
      <protection hidden="1"/>
    </xf>
    <xf numFmtId="0" fontId="13" fillId="6" borderId="0" xfId="0" applyFont="1" applyFill="1" applyBorder="1" applyAlignment="1" applyProtection="1">
      <alignment horizontal="left" vertical="center"/>
      <protection hidden="1"/>
    </xf>
    <xf numFmtId="0" fontId="12" fillId="0" borderId="0" xfId="0" applyFont="1" applyFill="1" applyAlignment="1" applyProtection="1">
      <alignment horizontal="left" vertical="center"/>
      <protection hidden="1"/>
    </xf>
    <xf numFmtId="0" fontId="12" fillId="0" borderId="0" xfId="0" applyFont="1" applyFill="1" applyBorder="1" applyAlignment="1" applyProtection="1">
      <alignment vertical="center" wrapText="1"/>
      <protection hidden="1"/>
    </xf>
    <xf numFmtId="0" fontId="12" fillId="0" borderId="0" xfId="0" applyFont="1" applyBorder="1" applyAlignment="1" applyProtection="1">
      <alignment horizontal="center" vertical="top"/>
      <protection hidden="1"/>
    </xf>
    <xf numFmtId="0" fontId="12" fillId="0" borderId="1" xfId="0" applyFont="1" applyFill="1" applyBorder="1" applyAlignment="1" applyProtection="1">
      <alignment horizontal="center" vertical="top"/>
    </xf>
    <xf numFmtId="0" fontId="12" fillId="0" borderId="1" xfId="0" applyFont="1" applyFill="1" applyBorder="1" applyAlignment="1" applyProtection="1">
      <alignment vertical="top"/>
    </xf>
    <xf numFmtId="0" fontId="12" fillId="0" borderId="1" xfId="0" applyFont="1" applyFill="1" applyBorder="1" applyAlignment="1" applyProtection="1">
      <alignment vertical="top"/>
      <protection hidden="1"/>
    </xf>
    <xf numFmtId="0" fontId="12" fillId="0" borderId="1" xfId="0" applyFont="1" applyFill="1" applyBorder="1" applyAlignment="1" applyProtection="1">
      <alignment horizontal="center" vertical="top"/>
      <protection hidden="1"/>
    </xf>
    <xf numFmtId="0" fontId="12" fillId="0" borderId="1" xfId="0" applyFont="1" applyFill="1" applyBorder="1" applyAlignment="1" applyProtection="1">
      <alignment horizontal="right" vertical="top"/>
      <protection hidden="1"/>
    </xf>
    <xf numFmtId="0" fontId="12" fillId="0" borderId="0" xfId="0" applyFont="1" applyAlignment="1" applyProtection="1">
      <alignment horizontal="center" vertical="top"/>
      <protection hidden="1"/>
    </xf>
    <xf numFmtId="0" fontId="12" fillId="0" borderId="0" xfId="0" applyFont="1" applyFill="1" applyBorder="1" applyAlignment="1" applyProtection="1">
      <alignment horizontal="center" vertical="top"/>
    </xf>
    <xf numFmtId="0" fontId="12" fillId="0" borderId="0" xfId="0" applyFont="1" applyFill="1" applyAlignment="1" applyProtection="1">
      <alignment horizontal="right" vertical="top"/>
      <protection hidden="1"/>
    </xf>
    <xf numFmtId="0" fontId="12" fillId="0" borderId="0" xfId="0" applyFont="1" applyProtection="1"/>
    <xf numFmtId="0" fontId="24" fillId="0" borderId="0" xfId="0" applyFont="1" applyFill="1" applyBorder="1" applyAlignment="1" applyProtection="1">
      <alignment horizontal="right" vertical="center"/>
      <protection hidden="1"/>
    </xf>
    <xf numFmtId="10" fontId="24" fillId="0" borderId="0" xfId="3" applyNumberFormat="1" applyFont="1" applyFill="1" applyBorder="1" applyAlignment="1" applyProtection="1">
      <alignment horizontal="right" vertical="center"/>
      <protection hidden="1"/>
    </xf>
    <xf numFmtId="0" fontId="11" fillId="7" borderId="0" xfId="0" applyFont="1" applyFill="1" applyAlignment="1" applyProtection="1">
      <alignment vertical="center"/>
    </xf>
    <xf numFmtId="0" fontId="12" fillId="7" borderId="0" xfId="0" applyFont="1" applyFill="1" applyAlignment="1" applyProtection="1">
      <alignment horizontal="center" vertical="center" wrapText="1"/>
    </xf>
    <xf numFmtId="0" fontId="11" fillId="7" borderId="0" xfId="0" applyFont="1" applyFill="1" applyAlignment="1" applyProtection="1">
      <alignment horizontal="center" vertical="center"/>
    </xf>
    <xf numFmtId="0" fontId="12" fillId="0" borderId="0" xfId="0" applyFont="1" applyAlignment="1" applyProtection="1">
      <alignment vertical="center"/>
    </xf>
    <xf numFmtId="0" fontId="12" fillId="7" borderId="0" xfId="0" applyFont="1" applyFill="1" applyAlignment="1" applyProtection="1">
      <alignment vertical="center"/>
    </xf>
    <xf numFmtId="165" fontId="12" fillId="17" borderId="0" xfId="0" applyNumberFormat="1" applyFont="1" applyFill="1" applyBorder="1" applyAlignment="1" applyProtection="1">
      <alignment horizontal="center" vertical="center"/>
      <protection hidden="1"/>
    </xf>
    <xf numFmtId="9" fontId="12" fillId="17" borderId="0" xfId="3" applyFont="1" applyFill="1" applyBorder="1" applyAlignment="1" applyProtection="1">
      <alignment horizontal="center" vertical="center"/>
      <protection hidden="1"/>
    </xf>
    <xf numFmtId="0" fontId="12" fillId="7" borderId="0" xfId="0" applyFont="1" applyFill="1" applyAlignment="1" applyProtection="1">
      <alignment horizontal="center" vertical="top" wrapText="1"/>
    </xf>
    <xf numFmtId="165" fontId="12" fillId="17" borderId="0" xfId="0" applyNumberFormat="1" applyFont="1" applyFill="1" applyBorder="1" applyAlignment="1" applyProtection="1">
      <alignment horizontal="center" vertical="top"/>
      <protection hidden="1"/>
    </xf>
    <xf numFmtId="0" fontId="11" fillId="7" borderId="0" xfId="0" applyFont="1" applyFill="1" applyAlignment="1" applyProtection="1">
      <alignment horizontal="center" vertical="top"/>
    </xf>
    <xf numFmtId="9" fontId="12" fillId="17" borderId="0" xfId="3" applyFont="1" applyFill="1" applyBorder="1" applyAlignment="1" applyProtection="1">
      <alignment horizontal="center" vertical="top"/>
      <protection hidden="1"/>
    </xf>
    <xf numFmtId="0" fontId="11" fillId="7" borderId="0" xfId="0" applyFont="1" applyFill="1" applyBorder="1" applyAlignment="1" applyProtection="1">
      <alignment horizontal="center" vertical="top"/>
      <protection hidden="1"/>
    </xf>
    <xf numFmtId="0" fontId="12" fillId="12" borderId="0" xfId="0" applyFont="1" applyFill="1" applyBorder="1" applyAlignment="1" applyProtection="1">
      <alignment horizontal="left" vertical="center"/>
      <protection locked="0" hidden="1"/>
    </xf>
    <xf numFmtId="0" fontId="4" fillId="0" borderId="0" xfId="0" applyFont="1" applyFill="1" applyBorder="1" applyAlignment="1" applyProtection="1">
      <alignment vertical="top"/>
      <protection hidden="1"/>
    </xf>
    <xf numFmtId="0" fontId="4" fillId="0" borderId="0" xfId="0" applyFont="1" applyFill="1" applyBorder="1" applyAlignment="1" applyProtection="1">
      <alignment vertical="top"/>
    </xf>
    <xf numFmtId="0" fontId="12" fillId="0" borderId="0" xfId="0" applyFont="1" applyBorder="1" applyAlignment="1" applyProtection="1">
      <alignment horizontal="center" vertical="center"/>
      <protection hidden="1"/>
    </xf>
    <xf numFmtId="9" fontId="12" fillId="0" borderId="0" xfId="3" applyFont="1" applyFill="1" applyAlignment="1" applyProtection="1">
      <alignment vertical="center"/>
      <protection hidden="1"/>
    </xf>
    <xf numFmtId="4" fontId="12" fillId="0" borderId="0" xfId="0" applyNumberFormat="1" applyFont="1" applyFill="1" applyBorder="1" applyAlignment="1" applyProtection="1">
      <alignment horizontal="right" vertical="center"/>
      <protection hidden="1"/>
    </xf>
    <xf numFmtId="4" fontId="12" fillId="3" borderId="0" xfId="0" applyNumberFormat="1" applyFont="1" applyFill="1" applyBorder="1" applyAlignment="1" applyProtection="1">
      <alignment vertical="center"/>
      <protection locked="0" hidden="1"/>
    </xf>
    <xf numFmtId="4" fontId="12" fillId="0" borderId="0" xfId="0" applyNumberFormat="1" applyFont="1" applyFill="1" applyBorder="1" applyAlignment="1" applyProtection="1">
      <alignment vertical="center"/>
      <protection hidden="1"/>
    </xf>
    <xf numFmtId="0" fontId="4" fillId="7" borderId="0" xfId="0" applyFont="1" applyFill="1" applyAlignment="1" applyProtection="1">
      <alignment vertical="top"/>
      <protection locked="0" hidden="1"/>
    </xf>
    <xf numFmtId="0" fontId="4" fillId="4" borderId="0" xfId="0" applyFont="1" applyFill="1" applyAlignment="1" applyProtection="1">
      <alignment vertical="top"/>
      <protection locked="0" hidden="1"/>
    </xf>
    <xf numFmtId="0" fontId="11" fillId="6" borderId="0" xfId="0" applyFont="1" applyFill="1" applyAlignment="1" applyProtection="1">
      <alignment horizontal="left" vertical="center" indent="1"/>
      <protection hidden="1"/>
    </xf>
    <xf numFmtId="0" fontId="13" fillId="7" borderId="0" xfId="0" applyFont="1" applyFill="1" applyAlignment="1" applyProtection="1">
      <alignment horizontal="left" vertical="top"/>
      <protection hidden="1"/>
    </xf>
    <xf numFmtId="0" fontId="11" fillId="0" borderId="0" xfId="0" applyFont="1" applyBorder="1" applyAlignment="1" applyProtection="1">
      <alignment horizontal="left" vertical="center"/>
      <protection hidden="1"/>
    </xf>
    <xf numFmtId="4" fontId="12" fillId="0" borderId="0" xfId="0" applyNumberFormat="1" applyFont="1" applyFill="1" applyAlignment="1" applyProtection="1">
      <alignment vertical="center"/>
      <protection hidden="1"/>
    </xf>
    <xf numFmtId="0" fontId="12" fillId="7" borderId="0" xfId="0" applyFont="1" applyFill="1" applyAlignment="1" applyProtection="1">
      <alignment horizontal="right" vertical="center" indent="1"/>
    </xf>
    <xf numFmtId="0" fontId="12" fillId="7" borderId="0" xfId="0" applyFont="1" applyFill="1" applyAlignment="1" applyProtection="1">
      <alignment horizontal="right" vertical="top" indent="1"/>
    </xf>
    <xf numFmtId="4" fontId="11" fillId="0" borderId="0" xfId="0" applyNumberFormat="1" applyFont="1" applyFill="1" applyBorder="1" applyAlignment="1" applyProtection="1">
      <alignment horizontal="right" vertical="center"/>
      <protection hidden="1"/>
    </xf>
    <xf numFmtId="4" fontId="11" fillId="0" borderId="0" xfId="0" applyNumberFormat="1" applyFont="1" applyFill="1" applyBorder="1" applyAlignment="1" applyProtection="1">
      <alignment horizontal="center" vertical="center"/>
      <protection hidden="1"/>
    </xf>
    <xf numFmtId="4" fontId="4" fillId="0" borderId="0" xfId="0" applyNumberFormat="1" applyFont="1" applyFill="1" applyBorder="1" applyAlignment="1" applyProtection="1">
      <alignment vertical="center"/>
      <protection hidden="1"/>
    </xf>
    <xf numFmtId="4" fontId="4" fillId="0" borderId="1" xfId="0" applyNumberFormat="1" applyFont="1" applyFill="1" applyBorder="1" applyAlignment="1" applyProtection="1">
      <alignment vertical="top"/>
      <protection hidden="1"/>
    </xf>
    <xf numFmtId="4" fontId="4" fillId="0" borderId="0" xfId="0" applyNumberFormat="1" applyFont="1" applyFill="1" applyAlignment="1" applyProtection="1">
      <alignment vertical="top"/>
      <protection hidden="1"/>
    </xf>
    <xf numFmtId="0" fontId="4" fillId="19" borderId="0" xfId="0" applyFont="1" applyFill="1" applyAlignment="1" applyProtection="1">
      <alignment vertical="top"/>
      <protection hidden="1"/>
    </xf>
    <xf numFmtId="0" fontId="4" fillId="19" borderId="0" xfId="0" applyFont="1" applyFill="1" applyProtection="1">
      <protection hidden="1"/>
    </xf>
    <xf numFmtId="0" fontId="4" fillId="19" borderId="0" xfId="0" applyFont="1" applyFill="1" applyProtection="1"/>
    <xf numFmtId="0" fontId="4" fillId="19" borderId="0" xfId="0" applyFont="1" applyFill="1" applyBorder="1" applyAlignment="1" applyProtection="1">
      <alignment vertical="top"/>
    </xf>
    <xf numFmtId="0" fontId="4" fillId="19" borderId="0" xfId="0" applyFont="1" applyFill="1" applyAlignment="1" applyProtection="1">
      <alignment vertical="top"/>
    </xf>
    <xf numFmtId="0" fontId="4" fillId="19" borderId="0" xfId="0" applyFont="1" applyFill="1" applyBorder="1" applyAlignment="1" applyProtection="1">
      <alignment vertical="top" wrapText="1"/>
      <protection hidden="1"/>
    </xf>
    <xf numFmtId="0" fontId="12" fillId="19" borderId="0" xfId="0" applyFont="1" applyFill="1" applyAlignment="1" applyProtection="1">
      <alignment vertical="center"/>
    </xf>
    <xf numFmtId="0" fontId="12" fillId="19" borderId="0" xfId="0" applyFont="1" applyFill="1" applyAlignment="1" applyProtection="1">
      <alignment horizontal="left" vertical="center" indent="1"/>
    </xf>
    <xf numFmtId="0" fontId="12" fillId="19" borderId="0" xfId="0" applyFont="1" applyFill="1" applyAlignment="1" applyProtection="1">
      <alignment vertical="top"/>
    </xf>
    <xf numFmtId="0" fontId="17" fillId="19" borderId="0" xfId="0" applyFont="1" applyFill="1" applyProtection="1"/>
    <xf numFmtId="0" fontId="12" fillId="19" borderId="0" xfId="0" applyFont="1" applyFill="1" applyBorder="1" applyAlignment="1" applyProtection="1">
      <alignment vertical="center"/>
      <protection hidden="1"/>
    </xf>
    <xf numFmtId="0" fontId="13" fillId="19" borderId="0" xfId="0" applyFont="1" applyFill="1" applyBorder="1" applyAlignment="1" applyProtection="1">
      <alignment vertical="top" wrapText="1"/>
      <protection hidden="1"/>
    </xf>
    <xf numFmtId="0" fontId="12" fillId="19" borderId="0" xfId="0" applyFont="1" applyFill="1" applyBorder="1" applyAlignment="1" applyProtection="1">
      <alignment horizontal="center" vertical="center"/>
      <protection hidden="1"/>
    </xf>
    <xf numFmtId="0" fontId="12" fillId="19" borderId="0" xfId="0" applyFont="1" applyFill="1" applyBorder="1" applyAlignment="1" applyProtection="1">
      <alignment vertical="top"/>
      <protection hidden="1"/>
    </xf>
    <xf numFmtId="0" fontId="4" fillId="19" borderId="0" xfId="0" applyFont="1" applyFill="1" applyBorder="1" applyProtection="1">
      <protection hidden="1"/>
    </xf>
    <xf numFmtId="0" fontId="12" fillId="19" borderId="0" xfId="0" applyFont="1" applyFill="1" applyAlignment="1" applyProtection="1">
      <alignment vertical="center"/>
      <protection hidden="1"/>
    </xf>
    <xf numFmtId="0" fontId="12" fillId="19" borderId="0" xfId="0" applyFont="1" applyFill="1" applyAlignment="1" applyProtection="1">
      <alignment horizontal="center" vertical="center"/>
      <protection hidden="1"/>
    </xf>
    <xf numFmtId="3" fontId="11" fillId="19" borderId="0" xfId="0" applyNumberFormat="1" applyFont="1" applyFill="1" applyBorder="1" applyAlignment="1" applyProtection="1">
      <alignment horizontal="center" vertical="center"/>
      <protection hidden="1"/>
    </xf>
    <xf numFmtId="0" fontId="11" fillId="19" borderId="0" xfId="0" applyFont="1" applyFill="1" applyBorder="1" applyAlignment="1" applyProtection="1">
      <alignment horizontal="center" vertical="center"/>
      <protection hidden="1"/>
    </xf>
    <xf numFmtId="0" fontId="12" fillId="19" borderId="0" xfId="0" applyFont="1" applyFill="1" applyBorder="1" applyAlignment="1" applyProtection="1">
      <alignment horizontal="left" vertical="center" indent="1"/>
      <protection hidden="1"/>
    </xf>
    <xf numFmtId="0" fontId="13" fillId="19" borderId="0" xfId="0" applyFont="1" applyFill="1" applyBorder="1" applyAlignment="1" applyProtection="1">
      <alignment horizontal="center" vertical="center"/>
      <protection hidden="1"/>
    </xf>
    <xf numFmtId="3" fontId="12" fillId="19" borderId="0" xfId="0" applyNumberFormat="1" applyFont="1" applyFill="1" applyBorder="1" applyAlignment="1" applyProtection="1">
      <alignment vertical="center"/>
      <protection hidden="1"/>
    </xf>
    <xf numFmtId="0" fontId="8" fillId="19" borderId="0" xfId="0" applyFont="1" applyFill="1" applyAlignment="1" applyProtection="1">
      <alignment vertical="top"/>
      <protection hidden="1"/>
    </xf>
    <xf numFmtId="0" fontId="6" fillId="19" borderId="0" xfId="0" applyFont="1" applyFill="1" applyAlignment="1" applyProtection="1">
      <alignment vertical="top"/>
      <protection hidden="1"/>
    </xf>
    <xf numFmtId="0" fontId="12" fillId="19" borderId="0" xfId="0" applyFont="1" applyFill="1" applyAlignment="1" applyProtection="1">
      <alignment vertical="top"/>
      <protection hidden="1"/>
    </xf>
    <xf numFmtId="0" fontId="4" fillId="19" borderId="0" xfId="0" applyFont="1" applyFill="1" applyAlignment="1" applyProtection="1">
      <alignment horizontal="center" vertical="top"/>
      <protection hidden="1"/>
    </xf>
    <xf numFmtId="0" fontId="4" fillId="19" borderId="1" xfId="0" applyFont="1" applyFill="1" applyBorder="1" applyProtection="1"/>
    <xf numFmtId="0" fontId="4" fillId="19" borderId="1" xfId="0" applyFont="1" applyFill="1" applyBorder="1" applyAlignment="1" applyProtection="1">
      <alignment horizontal="center" vertical="top"/>
      <protection hidden="1"/>
    </xf>
    <xf numFmtId="0" fontId="4" fillId="19" borderId="1" xfId="0" applyFont="1" applyFill="1" applyBorder="1" applyAlignment="1" applyProtection="1">
      <alignment vertical="top"/>
      <protection hidden="1"/>
    </xf>
    <xf numFmtId="0" fontId="4" fillId="19" borderId="0" xfId="0" applyFont="1" applyFill="1" applyBorder="1" applyAlignment="1" applyProtection="1">
      <alignment horizontal="center" vertical="top"/>
      <protection hidden="1"/>
    </xf>
    <xf numFmtId="0" fontId="4" fillId="19" borderId="0" xfId="0" applyFont="1" applyFill="1" applyBorder="1" applyAlignment="1" applyProtection="1">
      <alignment horizontal="center" vertical="top"/>
    </xf>
    <xf numFmtId="0" fontId="11" fillId="19" borderId="0" xfId="0" applyFont="1" applyFill="1" applyAlignment="1" applyProtection="1">
      <alignment horizontal="right" vertical="center"/>
      <protection hidden="1"/>
    </xf>
    <xf numFmtId="0" fontId="4" fillId="19" borderId="0" xfId="0" applyFont="1" applyFill="1" applyAlignment="1" applyProtection="1">
      <alignment horizontal="center" vertical="top"/>
    </xf>
    <xf numFmtId="0" fontId="16" fillId="19" borderId="0" xfId="2" applyFont="1" applyFill="1" applyAlignment="1" applyProtection="1">
      <alignment vertical="center" wrapText="1"/>
    </xf>
    <xf numFmtId="0" fontId="6" fillId="19" borderId="0" xfId="0" applyFont="1" applyFill="1" applyAlignment="1" applyProtection="1">
      <alignment vertical="center"/>
      <protection locked="0" hidden="1"/>
    </xf>
    <xf numFmtId="14" fontId="12" fillId="19" borderId="0" xfId="0" applyNumberFormat="1" applyFont="1" applyFill="1" applyAlignment="1" applyProtection="1">
      <alignment vertical="center"/>
      <protection locked="0" hidden="1"/>
    </xf>
    <xf numFmtId="0" fontId="20" fillId="19" borderId="0" xfId="0" applyFont="1" applyFill="1" applyAlignment="1" applyProtection="1">
      <alignment horizontal="right" vertical="center" indent="1"/>
      <protection hidden="1"/>
    </xf>
    <xf numFmtId="0" fontId="4" fillId="19" borderId="0" xfId="0" applyFont="1" applyFill="1" applyAlignment="1" applyProtection="1">
      <alignment horizontal="right" wrapText="1" indent="1"/>
    </xf>
    <xf numFmtId="0" fontId="12" fillId="19" borderId="0" xfId="0" applyFont="1" applyFill="1" applyBorder="1" applyAlignment="1" applyProtection="1">
      <alignment vertical="top"/>
    </xf>
    <xf numFmtId="0" fontId="12" fillId="19" borderId="0" xfId="0" applyFont="1" applyFill="1" applyAlignment="1" applyProtection="1">
      <alignment horizontal="left" vertical="top" wrapText="1" indent="1"/>
    </xf>
    <xf numFmtId="0" fontId="11" fillId="19" borderId="0" xfId="0" applyFont="1" applyFill="1" applyBorder="1" applyAlignment="1" applyProtection="1">
      <alignment horizontal="center" vertical="center"/>
    </xf>
    <xf numFmtId="0" fontId="5" fillId="19" borderId="0" xfId="0" applyFont="1" applyFill="1" applyAlignment="1" applyProtection="1">
      <alignment horizontal="center" vertical="center"/>
    </xf>
    <xf numFmtId="0" fontId="12" fillId="19" borderId="0" xfId="0" applyFont="1" applyFill="1" applyProtection="1"/>
    <xf numFmtId="0" fontId="12" fillId="19" borderId="0" xfId="0" applyFont="1" applyFill="1" applyAlignment="1" applyProtection="1">
      <alignment vertical="center"/>
      <protection locked="0" hidden="1"/>
    </xf>
    <xf numFmtId="0" fontId="12" fillId="19" borderId="0" xfId="0" applyFont="1" applyFill="1" applyAlignment="1" applyProtection="1">
      <alignment vertical="top"/>
      <protection locked="0"/>
    </xf>
    <xf numFmtId="0" fontId="12" fillId="19" borderId="0" xfId="0" applyFont="1" applyFill="1" applyAlignment="1" applyProtection="1">
      <alignment horizontal="center" vertical="top"/>
    </xf>
    <xf numFmtId="0" fontId="11" fillId="19" borderId="0" xfId="0" applyFont="1" applyFill="1" applyBorder="1" applyAlignment="1" applyProtection="1">
      <alignment horizontal="left" vertical="top" indent="1"/>
      <protection hidden="1"/>
    </xf>
    <xf numFmtId="0" fontId="11" fillId="19" borderId="0" xfId="0" applyFont="1" applyFill="1" applyBorder="1" applyAlignment="1" applyProtection="1">
      <alignment horizontal="left" vertical="top" wrapText="1" indent="1"/>
      <protection hidden="1"/>
    </xf>
    <xf numFmtId="0" fontId="12" fillId="19" borderId="0" xfId="0" applyFont="1" applyFill="1" applyAlignment="1" applyProtection="1">
      <alignment horizontal="left" vertical="center" indent="1"/>
      <protection hidden="1"/>
    </xf>
    <xf numFmtId="0" fontId="24" fillId="19" borderId="0" xfId="0" applyFont="1" applyFill="1" applyBorder="1" applyAlignment="1" applyProtection="1">
      <alignment horizontal="center" vertical="center"/>
      <protection hidden="1"/>
    </xf>
    <xf numFmtId="0" fontId="25" fillId="19" borderId="0" xfId="0" applyFont="1" applyFill="1" applyAlignment="1" applyProtection="1">
      <alignment vertical="top"/>
    </xf>
    <xf numFmtId="3" fontId="24" fillId="19" borderId="0" xfId="0" applyNumberFormat="1" applyFont="1" applyFill="1" applyBorder="1" applyAlignment="1" applyProtection="1">
      <alignment vertical="center"/>
      <protection hidden="1"/>
    </xf>
    <xf numFmtId="0" fontId="24" fillId="19" borderId="0" xfId="0" applyFont="1" applyFill="1" applyBorder="1" applyAlignment="1" applyProtection="1">
      <alignment vertical="top"/>
      <protection hidden="1"/>
    </xf>
    <xf numFmtId="0" fontId="25" fillId="19" borderId="0" xfId="0" applyFont="1" applyFill="1" applyBorder="1" applyProtection="1">
      <protection hidden="1"/>
    </xf>
    <xf numFmtId="3" fontId="24" fillId="19" borderId="0" xfId="0" applyNumberFormat="1" applyFont="1" applyFill="1" applyBorder="1" applyAlignment="1" applyProtection="1">
      <alignment horizontal="center" vertical="center"/>
      <protection hidden="1"/>
    </xf>
    <xf numFmtId="0" fontId="4" fillId="19" borderId="0" xfId="0" applyFont="1" applyFill="1" applyAlignment="1" applyProtection="1">
      <alignment vertical="center"/>
    </xf>
    <xf numFmtId="0" fontId="21" fillId="19" borderId="0" xfId="0" applyFont="1" applyFill="1" applyProtection="1"/>
    <xf numFmtId="0" fontId="4" fillId="19" borderId="0" xfId="0" applyFont="1" applyFill="1" applyAlignment="1" applyProtection="1">
      <alignment horizontal="center" vertical="center"/>
    </xf>
    <xf numFmtId="0" fontId="7" fillId="19" borderId="0" xfId="0" applyFont="1" applyFill="1" applyProtection="1"/>
    <xf numFmtId="0" fontId="7" fillId="0" borderId="0" xfId="0" applyFont="1" applyFill="1" applyProtection="1"/>
    <xf numFmtId="0" fontId="13" fillId="19" borderId="0" xfId="0" applyFont="1" applyFill="1" applyAlignment="1" applyProtection="1">
      <alignment horizontal="right" vertical="center"/>
      <protection hidden="1"/>
    </xf>
    <xf numFmtId="3" fontId="12" fillId="3" borderId="0" xfId="0" applyNumberFormat="1" applyFont="1" applyFill="1" applyBorder="1" applyAlignment="1" applyProtection="1">
      <alignment horizontal="right" vertical="center"/>
      <protection locked="0"/>
    </xf>
    <xf numFmtId="4" fontId="12" fillId="0" borderId="0" xfId="0" applyNumberFormat="1" applyFont="1" applyFill="1" applyAlignment="1" applyProtection="1">
      <alignment vertical="center"/>
    </xf>
    <xf numFmtId="0" fontId="27" fillId="0" borderId="0" xfId="0" applyFont="1" applyFill="1" applyBorder="1" applyAlignment="1" applyProtection="1">
      <alignment horizontal="left" vertical="top"/>
    </xf>
    <xf numFmtId="0" fontId="28" fillId="0" borderId="0" xfId="0" applyFont="1" applyFill="1" applyBorder="1" applyAlignment="1" applyProtection="1">
      <alignment horizontal="center" vertical="center"/>
      <protection hidden="1"/>
    </xf>
    <xf numFmtId="0" fontId="29" fillId="0" borderId="0" xfId="0" applyFont="1" applyFill="1" applyAlignment="1" applyProtection="1">
      <alignment horizontal="center" vertical="center"/>
    </xf>
    <xf numFmtId="0" fontId="13" fillId="19" borderId="0" xfId="0" applyFont="1" applyFill="1" applyBorder="1" applyAlignment="1" applyProtection="1">
      <alignment vertical="center" wrapText="1"/>
      <protection hidden="1"/>
    </xf>
    <xf numFmtId="0" fontId="14" fillId="11" borderId="0" xfId="2" applyFont="1" applyFill="1" applyBorder="1" applyAlignment="1" applyProtection="1">
      <alignment vertical="center"/>
    </xf>
    <xf numFmtId="0" fontId="13" fillId="11" borderId="0" xfId="0" applyFont="1" applyFill="1" applyBorder="1" applyAlignment="1" applyProtection="1">
      <alignment vertical="center" wrapText="1"/>
      <protection hidden="1"/>
    </xf>
    <xf numFmtId="0" fontId="4" fillId="11" borderId="0" xfId="0" applyFont="1" applyFill="1" applyProtection="1"/>
    <xf numFmtId="0" fontId="4" fillId="0" borderId="1" xfId="0" applyFont="1" applyFill="1" applyBorder="1" applyAlignment="1" applyProtection="1">
      <alignment horizontal="right" vertical="top"/>
      <protection locked="0" hidden="1"/>
    </xf>
    <xf numFmtId="0" fontId="12" fillId="3" borderId="11" xfId="0" applyFont="1" applyFill="1" applyBorder="1" applyAlignment="1" applyProtection="1">
      <alignment horizontal="left" vertical="center"/>
      <protection locked="0"/>
    </xf>
    <xf numFmtId="0" fontId="12" fillId="3" borderId="12" xfId="0" applyFont="1" applyFill="1" applyBorder="1" applyAlignment="1" applyProtection="1">
      <alignment horizontal="left" vertical="center"/>
      <protection locked="0"/>
    </xf>
    <xf numFmtId="0" fontId="12" fillId="3" borderId="13" xfId="0" applyFont="1" applyFill="1" applyBorder="1" applyAlignment="1" applyProtection="1">
      <alignment horizontal="left" vertical="center"/>
      <protection locked="0"/>
    </xf>
    <xf numFmtId="0" fontId="4" fillId="0" borderId="1" xfId="0" applyFont="1" applyFill="1" applyBorder="1" applyAlignment="1" applyProtection="1">
      <alignment horizontal="center" vertical="top"/>
      <protection locked="0"/>
    </xf>
    <xf numFmtId="165" fontId="12" fillId="15" borderId="6" xfId="0" applyNumberFormat="1" applyFont="1" applyFill="1" applyBorder="1" applyAlignment="1" applyProtection="1">
      <alignment horizontal="center" vertical="center"/>
      <protection locked="0"/>
    </xf>
    <xf numFmtId="3" fontId="12" fillId="15" borderId="6" xfId="3" applyNumberFormat="1" applyFont="1" applyFill="1" applyBorder="1" applyAlignment="1" applyProtection="1">
      <alignment horizontal="center" vertical="center"/>
      <protection locked="0"/>
    </xf>
    <xf numFmtId="10" fontId="12" fillId="3" borderId="6" xfId="3" applyNumberFormat="1" applyFont="1" applyFill="1" applyBorder="1" applyAlignment="1" applyProtection="1">
      <alignment horizontal="center" vertical="center"/>
      <protection locked="0"/>
    </xf>
    <xf numFmtId="9" fontId="24" fillId="3" borderId="6" xfId="0" applyNumberFormat="1" applyFont="1" applyFill="1" applyBorder="1" applyAlignment="1" applyProtection="1">
      <alignment horizontal="center" vertical="center"/>
      <protection locked="0"/>
    </xf>
    <xf numFmtId="1" fontId="19" fillId="3" borderId="6" xfId="0" applyNumberFormat="1"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2" fontId="12" fillId="3" borderId="7" xfId="0" applyNumberFormat="1" applyFont="1" applyFill="1" applyBorder="1" applyAlignment="1" applyProtection="1">
      <alignment horizontal="center" vertical="center"/>
      <protection locked="0"/>
    </xf>
    <xf numFmtId="2" fontId="12" fillId="3" borderId="8" xfId="0" applyNumberFormat="1" applyFont="1" applyFill="1" applyBorder="1" applyAlignment="1" applyProtection="1">
      <alignment horizontal="center" vertical="center"/>
      <protection locked="0"/>
    </xf>
    <xf numFmtId="2" fontId="12" fillId="3" borderId="9" xfId="0" applyNumberFormat="1"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4" fontId="12" fillId="3" borderId="6" xfId="0" applyNumberFormat="1" applyFont="1" applyFill="1" applyBorder="1" applyAlignment="1" applyProtection="1">
      <alignment horizontal="center" vertical="center"/>
      <protection locked="0"/>
    </xf>
    <xf numFmtId="165" fontId="12" fillId="3" borderId="6" xfId="1" applyNumberFormat="1" applyFont="1" applyFill="1" applyBorder="1" applyAlignment="1" applyProtection="1">
      <alignment horizontal="center" vertical="center"/>
      <protection locked="0"/>
    </xf>
    <xf numFmtId="9" fontId="12" fillId="3" borderId="6" xfId="3"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12" fillId="3" borderId="11" xfId="0" applyFont="1" applyFill="1" applyBorder="1" applyAlignment="1" applyProtection="1">
      <alignment horizontal="left" vertical="center"/>
      <protection locked="0"/>
    </xf>
    <xf numFmtId="0" fontId="12" fillId="3" borderId="12" xfId="0" applyFont="1" applyFill="1" applyBorder="1" applyAlignment="1" applyProtection="1">
      <alignment horizontal="left" vertical="center"/>
      <protection locked="0"/>
    </xf>
    <xf numFmtId="0" fontId="12" fillId="3" borderId="13" xfId="0" applyFont="1" applyFill="1" applyBorder="1" applyAlignment="1" applyProtection="1">
      <alignment horizontal="left" vertical="center"/>
      <protection locked="0"/>
    </xf>
    <xf numFmtId="0" fontId="26" fillId="0" borderId="0" xfId="0" applyFont="1" applyFill="1" applyBorder="1" applyAlignment="1" applyProtection="1">
      <alignment horizontal="left" vertical="center" wrapText="1"/>
      <protection hidden="1"/>
    </xf>
    <xf numFmtId="0" fontId="12" fillId="3"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center" wrapText="1"/>
      <protection hidden="1"/>
    </xf>
    <xf numFmtId="0" fontId="12" fillId="0" borderId="0" xfId="0" applyFont="1" applyFill="1" applyBorder="1" applyAlignment="1" applyProtection="1">
      <alignment horizontal="left" vertical="center" wrapText="1"/>
    </xf>
    <xf numFmtId="0" fontId="13" fillId="6" borderId="0" xfId="0" applyFont="1" applyFill="1" applyBorder="1" applyAlignment="1" applyProtection="1">
      <alignment horizontal="left" vertical="top" wrapText="1"/>
      <protection hidden="1"/>
    </xf>
    <xf numFmtId="0" fontId="11" fillId="5" borderId="0" xfId="0" applyFont="1" applyFill="1" applyAlignment="1" applyProtection="1">
      <alignment horizontal="left" vertical="top" wrapText="1"/>
    </xf>
    <xf numFmtId="3" fontId="11" fillId="11" borderId="0" xfId="0" applyNumberFormat="1" applyFont="1" applyFill="1" applyBorder="1" applyAlignment="1" applyProtection="1">
      <alignment horizontal="left" vertical="center" wrapText="1"/>
      <protection hidden="1"/>
    </xf>
    <xf numFmtId="0" fontId="13" fillId="11" borderId="0" xfId="0" applyFont="1" applyFill="1" applyBorder="1" applyAlignment="1" applyProtection="1">
      <alignment horizontal="left" vertical="top" wrapText="1" indent="1"/>
      <protection hidden="1"/>
    </xf>
    <xf numFmtId="0" fontId="12" fillId="3" borderId="0" xfId="0" applyFont="1" applyFill="1" applyAlignment="1" applyProtection="1">
      <alignment horizontal="left" vertical="center"/>
      <protection locked="0"/>
    </xf>
    <xf numFmtId="0" fontId="12" fillId="13" borderId="0" xfId="0" applyFont="1" applyFill="1" applyBorder="1" applyAlignment="1" applyProtection="1">
      <alignment horizontal="left" vertical="center"/>
      <protection hidden="1"/>
    </xf>
    <xf numFmtId="0" fontId="12" fillId="12" borderId="0" xfId="0" applyFont="1" applyFill="1" applyAlignment="1" applyProtection="1">
      <alignment horizontal="left" vertical="center" indent="1"/>
      <protection locked="0" hidden="1"/>
    </xf>
    <xf numFmtId="0" fontId="12" fillId="12" borderId="0" xfId="0" applyFont="1" applyFill="1" applyBorder="1" applyAlignment="1" applyProtection="1">
      <alignment horizontal="left" vertical="center"/>
      <protection locked="0" hidden="1"/>
    </xf>
    <xf numFmtId="0" fontId="10" fillId="19" borderId="0" xfId="2" applyFont="1" applyFill="1" applyAlignment="1" applyProtection="1">
      <alignment horizontal="right" vertical="center" wrapText="1"/>
      <protection locked="0"/>
    </xf>
    <xf numFmtId="3" fontId="5" fillId="13" borderId="0" xfId="0" applyNumberFormat="1" applyFont="1" applyFill="1" applyBorder="1" applyAlignment="1" applyProtection="1">
      <alignment horizontal="left" vertical="center" wrapText="1"/>
      <protection hidden="1"/>
    </xf>
    <xf numFmtId="0" fontId="12" fillId="8" borderId="0" xfId="0" applyFont="1" applyFill="1" applyAlignment="1" applyProtection="1">
      <alignment horizontal="left" vertical="top" wrapText="1"/>
      <protection hidden="1"/>
    </xf>
    <xf numFmtId="0" fontId="12" fillId="8" borderId="0" xfId="0" applyFont="1" applyFill="1" applyAlignment="1" applyProtection="1">
      <alignment horizontal="left" vertical="top" wrapText="1" indent="1"/>
      <protection hidden="1"/>
    </xf>
    <xf numFmtId="0" fontId="6" fillId="3" borderId="0" xfId="0" applyFont="1" applyFill="1" applyAlignment="1" applyProtection="1">
      <alignment horizontal="left" vertical="top"/>
      <protection locked="0"/>
    </xf>
    <xf numFmtId="166" fontId="12" fillId="3" borderId="0" xfId="0" applyNumberFormat="1" applyFont="1" applyFill="1" applyAlignment="1" applyProtection="1">
      <alignment horizontal="right" vertical="center"/>
      <protection locked="0"/>
    </xf>
    <xf numFmtId="0" fontId="6" fillId="3" borderId="0" xfId="0" applyFont="1" applyFill="1" applyAlignment="1" applyProtection="1">
      <alignment horizontal="left" vertical="top" wrapText="1"/>
      <protection locked="0"/>
    </xf>
    <xf numFmtId="0" fontId="12" fillId="5" borderId="0" xfId="0" applyFont="1" applyFill="1" applyAlignment="1" applyProtection="1">
      <alignment horizontal="left" vertical="top" wrapText="1" indent="1"/>
      <protection hidden="1"/>
    </xf>
    <xf numFmtId="0" fontId="11" fillId="0" borderId="1" xfId="0" applyFont="1" applyBorder="1" applyAlignment="1" applyProtection="1">
      <alignment horizontal="center" vertical="center" wrapText="1"/>
      <protection hidden="1"/>
    </xf>
    <xf numFmtId="0" fontId="13" fillId="5" borderId="0" xfId="0" applyFont="1" applyFill="1" applyAlignment="1" applyProtection="1">
      <alignment horizontal="left" vertical="top" wrapText="1" indent="1"/>
      <protection hidden="1"/>
    </xf>
    <xf numFmtId="0" fontId="11" fillId="12" borderId="1" xfId="0" applyFont="1" applyFill="1" applyBorder="1" applyAlignment="1" applyProtection="1">
      <alignment horizontal="center" vertical="center"/>
      <protection locked="0" hidden="1"/>
    </xf>
    <xf numFmtId="0" fontId="12" fillId="12" borderId="10" xfId="0" applyFont="1" applyFill="1" applyBorder="1" applyAlignment="1" applyProtection="1">
      <alignment horizontal="left" vertical="center" wrapText="1" indent="1"/>
      <protection locked="0" hidden="1"/>
    </xf>
    <xf numFmtId="0" fontId="12" fillId="12" borderId="0" xfId="0" applyFont="1" applyFill="1" applyBorder="1" applyAlignment="1" applyProtection="1">
      <alignment horizontal="left" vertical="center" wrapText="1" indent="1"/>
      <protection locked="0" hidden="1"/>
    </xf>
    <xf numFmtId="0" fontId="12" fillId="7" borderId="0" xfId="0" applyFont="1" applyFill="1" applyAlignment="1" applyProtection="1">
      <alignment horizontal="left" vertical="top" wrapText="1" indent="1"/>
      <protection hidden="1"/>
    </xf>
    <xf numFmtId="167" fontId="12" fillId="9" borderId="0" xfId="0" applyNumberFormat="1" applyFont="1" applyFill="1" applyAlignment="1" applyProtection="1">
      <alignment horizontal="left" vertical="center"/>
      <protection hidden="1"/>
    </xf>
    <xf numFmtId="0" fontId="12" fillId="6" borderId="0" xfId="0" applyFont="1" applyFill="1" applyAlignment="1" applyProtection="1">
      <alignment horizontal="left" vertical="center" wrapText="1"/>
      <protection hidden="1"/>
    </xf>
    <xf numFmtId="0" fontId="12" fillId="12" borderId="0" xfId="0" applyFont="1" applyFill="1" applyAlignment="1" applyProtection="1">
      <alignment horizontal="left" vertical="center" indent="1"/>
      <protection locked="0"/>
    </xf>
    <xf numFmtId="0" fontId="30" fillId="11" borderId="0" xfId="2" applyFont="1" applyFill="1" applyBorder="1" applyAlignment="1" applyProtection="1">
      <alignment horizontal="left" vertical="center" indent="1"/>
      <protection locked="0"/>
    </xf>
    <xf numFmtId="0" fontId="12" fillId="11" borderId="0" xfId="0" applyFont="1" applyFill="1" applyBorder="1" applyAlignment="1" applyProtection="1">
      <alignment horizontal="left" vertical="center" wrapText="1" indent="1"/>
      <protection hidden="1"/>
    </xf>
    <xf numFmtId="0" fontId="7" fillId="11" borderId="0" xfId="0" applyFont="1" applyFill="1" applyAlignment="1" applyProtection="1">
      <alignment horizontal="left" vertical="center" wrapText="1" indent="2"/>
    </xf>
    <xf numFmtId="0" fontId="12" fillId="11" borderId="0" xfId="0" applyFont="1" applyFill="1" applyAlignment="1" applyProtection="1">
      <alignment horizontal="left" vertical="center" indent="2"/>
    </xf>
  </cellXfs>
  <cellStyles count="177">
    <cellStyle name="Besuchter Hyperlink" xfId="4" builtinId="9" hidden="1"/>
    <cellStyle name="Besuchter Hyperlink" xfId="5" builtinId="9" hidden="1"/>
    <cellStyle name="Besuchter Hyperlink" xfId="6" builtinId="9" hidden="1"/>
    <cellStyle name="Besuchter Hyperlink" xfId="7" builtinId="9" hidden="1"/>
    <cellStyle name="Besuchter Hyperlink" xfId="8" builtinId="9" hidden="1"/>
    <cellStyle name="Besuchter Hyperlink" xfId="9" builtinId="9" hidden="1"/>
    <cellStyle name="Besuchter Hyperlink" xfId="10" builtinId="9" hidden="1"/>
    <cellStyle name="Besuchter Hyperlink" xfId="11" builtinId="9" hidden="1"/>
    <cellStyle name="Besuchter Hyperlink" xfId="12" builtinId="9" hidden="1"/>
    <cellStyle name="Besuchter Hyperlink" xfId="13" builtinId="9" hidden="1"/>
    <cellStyle name="Besuchter Hyperlink" xfId="14" builtinId="9" hidden="1"/>
    <cellStyle name="Besuchter Hyperlink" xfId="15" builtinId="9" hidden="1"/>
    <cellStyle name="Besuchter Hyperlink" xfId="16" builtinId="9" hidden="1"/>
    <cellStyle name="Besuchter Hyperlink" xfId="17"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Besuchter Hyperlink" xfId="23" builtinId="9" hidden="1"/>
    <cellStyle name="Besuchter Hyperlink" xfId="24" builtinId="9" hidden="1"/>
    <cellStyle name="Besuchter Hyperlink" xfId="25" builtinId="9" hidden="1"/>
    <cellStyle name="Besuchter Hyperlink" xfId="26" builtinId="9" hidden="1"/>
    <cellStyle name="Besuchter Hyperlink" xfId="27" builtinId="9" hidden="1"/>
    <cellStyle name="Besuchter Hyperlink" xfId="28" builtinId="9" hidden="1"/>
    <cellStyle name="Besuchter Hyperlink" xfId="29" builtinId="9" hidden="1"/>
    <cellStyle name="Besuchter Hyperlink" xfId="30" builtinId="9" hidden="1"/>
    <cellStyle name="Besuchter Hyperlink" xfId="31" builtinId="9" hidden="1"/>
    <cellStyle name="Besuchter Hyperlink" xfId="32" builtinId="9" hidden="1"/>
    <cellStyle name="Besuchter Hyperlink" xfId="33" builtinId="9" hidden="1"/>
    <cellStyle name="Besuchter Hyperlink" xfId="34" builtinId="9" hidden="1"/>
    <cellStyle name="Besuchter Hyperlink" xfId="35" builtinId="9" hidden="1"/>
    <cellStyle name="Besuchter Hyperlink" xfId="36" builtinId="9" hidden="1"/>
    <cellStyle name="Besuchter Hyperlink" xfId="37" builtinId="9" hidden="1"/>
    <cellStyle name="Besuchter Hyperlink" xfId="38" builtinId="9" hidden="1"/>
    <cellStyle name="Besuchter Hyperlink" xfId="39" builtinId="9" hidden="1"/>
    <cellStyle name="Besuchter Hyperlink" xfId="40" builtinId="9" hidden="1"/>
    <cellStyle name="Besuchter Hyperlink" xfId="41" builtinId="9" hidden="1"/>
    <cellStyle name="Besuchter Hyperlink" xfId="42" builtinId="9" hidden="1"/>
    <cellStyle name="Besuchter Hyperlink" xfId="43" builtinId="9" hidden="1"/>
    <cellStyle name="Besuchter Hyperlink" xfId="44" builtinId="9" hidden="1"/>
    <cellStyle name="Besuchter Hyperlink" xfId="45" builtinId="9" hidden="1"/>
    <cellStyle name="Besuchter Hyperlink" xfId="46" builtinId="9" hidden="1"/>
    <cellStyle name="Besuchter Hyperlink" xfId="47" builtinId="9" hidden="1"/>
    <cellStyle name="Besuchter Hyperlink" xfId="48" builtinId="9" hidden="1"/>
    <cellStyle name="Besuchter Hyperlink" xfId="49" builtinId="9" hidden="1"/>
    <cellStyle name="Besuchter Hyperlink" xfId="50" builtinId="9" hidden="1"/>
    <cellStyle name="Besuchter Hyperlink" xfId="51" builtinId="9" hidden="1"/>
    <cellStyle name="Besuchter Hyperlink" xfId="52" builtinId="9" hidden="1"/>
    <cellStyle name="Besuchter Hyperlink" xfId="53" builtinId="9" hidden="1"/>
    <cellStyle name="Besuchter Hyperlink" xfId="54" builtinId="9" hidden="1"/>
    <cellStyle name="Besuchter Hyperlink" xfId="55" builtinId="9" hidden="1"/>
    <cellStyle name="Besuchter Hyperlink" xfId="56" builtinId="9" hidden="1"/>
    <cellStyle name="Besuchter Hyperlink" xfId="57" builtinId="9" hidden="1"/>
    <cellStyle name="Besuchter Hyperlink" xfId="58" builtinId="9" hidden="1"/>
    <cellStyle name="Besuchter Hyperlink" xfId="59" builtinId="9" hidden="1"/>
    <cellStyle name="Besuchter Hyperlink" xfId="60" builtinId="9" hidden="1"/>
    <cellStyle name="Besuchter Hyperlink" xfId="61" builtinId="9" hidden="1"/>
    <cellStyle name="Besuchter Hyperlink" xfId="62" builtinId="9" hidden="1"/>
    <cellStyle name="Besuchter Hyperlink" xfId="63" builtinId="9" hidden="1"/>
    <cellStyle name="Besuchter Hyperlink" xfId="64" builtinId="9" hidden="1"/>
    <cellStyle name="Besuchter Hyperlink" xfId="65" builtinId="9" hidden="1"/>
    <cellStyle name="Besuchter Hyperlink" xfId="66" builtinId="9" hidden="1"/>
    <cellStyle name="Besuchter Hyperlink" xfId="67" builtinId="9" hidden="1"/>
    <cellStyle name="Besuchter Hyperlink" xfId="68" builtinId="9" hidden="1"/>
    <cellStyle name="Besuchter Hyperlink" xfId="69" builtinId="9" hidden="1"/>
    <cellStyle name="Besuchter Hyperlink" xfId="70" builtinId="9" hidden="1"/>
    <cellStyle name="Besuchter Hyperlink" xfId="71" builtinId="9" hidden="1"/>
    <cellStyle name="Besuchter Hyperlink" xfId="72" builtinId="9" hidden="1"/>
    <cellStyle name="Besuchter Hyperlink" xfId="73" builtinId="9" hidden="1"/>
    <cellStyle name="Besuchter Hyperlink" xfId="74" builtinId="9" hidden="1"/>
    <cellStyle name="Besuchter Hyperlink" xfId="75" builtinId="9" hidden="1"/>
    <cellStyle name="Besuchter Hyperlink" xfId="76" builtinId="9" hidden="1"/>
    <cellStyle name="Besuchter Hyperlink" xfId="77" builtinId="9" hidden="1"/>
    <cellStyle name="Besuchter Hyperlink" xfId="78" builtinId="9" hidden="1"/>
    <cellStyle name="Besuchter Hyperlink" xfId="79" builtinId="9" hidden="1"/>
    <cellStyle name="Besuchter Hyperlink" xfId="80" builtinId="9" hidden="1"/>
    <cellStyle name="Besuchter Hyperlink" xfId="81" builtinId="9" hidden="1"/>
    <cellStyle name="Besuchter Hyperlink" xfId="82" builtinId="9" hidden="1"/>
    <cellStyle name="Besuchter Hyperlink" xfId="83" builtinId="9" hidden="1"/>
    <cellStyle name="Besuchter Hyperlink" xfId="84" builtinId="9" hidden="1"/>
    <cellStyle name="Besuchter Hyperlink" xfId="85" builtinId="9" hidden="1"/>
    <cellStyle name="Besuchter Hyperlink" xfId="86" builtinId="9" hidden="1"/>
    <cellStyle name="Besuchter Hyperlink" xfId="87" builtinId="9" hidden="1"/>
    <cellStyle name="Besuchter Hyperlink" xfId="88" builtinId="9" hidden="1"/>
    <cellStyle name="Besuchter Hyperlink" xfId="89" builtinId="9" hidden="1"/>
    <cellStyle name="Besuchter Hyperlink" xfId="90" builtinId="9" hidden="1"/>
    <cellStyle name="Besuchter Hyperlink" xfId="91" builtinId="9" hidden="1"/>
    <cellStyle name="Besuchter Hyperlink" xfId="92" builtinId="9" hidden="1"/>
    <cellStyle name="Besuchter Hyperlink" xfId="93" builtinId="9" hidden="1"/>
    <cellStyle name="Besuchter Hyperlink" xfId="94" builtinId="9" hidden="1"/>
    <cellStyle name="Besuchter Hyperlink" xfId="95" builtinId="9" hidden="1"/>
    <cellStyle name="Besuchter Hyperlink" xfId="96" builtinId="9" hidden="1"/>
    <cellStyle name="Besuchter Hyperlink" xfId="97" builtinId="9" hidden="1"/>
    <cellStyle name="Besuchter Hyperlink" xfId="98" builtinId="9" hidden="1"/>
    <cellStyle name="Besuchter Hyperlink" xfId="99" builtinId="9" hidden="1"/>
    <cellStyle name="Besuchter Hyperlink" xfId="100" builtinId="9" hidden="1"/>
    <cellStyle name="Besuchter Hyperlink" xfId="101" builtinId="9" hidden="1"/>
    <cellStyle name="Besuchter Hyperlink" xfId="102" builtinId="9" hidden="1"/>
    <cellStyle name="Besuchter Hyperlink" xfId="103" builtinId="9" hidden="1"/>
    <cellStyle name="Besuchter Hyperlink" xfId="104" builtinId="9" hidden="1"/>
    <cellStyle name="Besuchter Hyperlink" xfId="105" builtinId="9" hidden="1"/>
    <cellStyle name="Besuchter Hyperlink" xfId="106" builtinId="9" hidden="1"/>
    <cellStyle name="Besuchter Hyperlink" xfId="107" builtinId="9" hidden="1"/>
    <cellStyle name="Besuchter Hyperlink" xfId="108" builtinId="9" hidden="1"/>
    <cellStyle name="Besuchter Hyperlink" xfId="109" builtinId="9" hidden="1"/>
    <cellStyle name="Besuchter Hyperlink" xfId="110" builtinId="9" hidden="1"/>
    <cellStyle name="Besuchter Hyperlink" xfId="111" builtinId="9" hidden="1"/>
    <cellStyle name="Besuchter Hyperlink" xfId="112" builtinId="9" hidden="1"/>
    <cellStyle name="Besuchter Hyperlink" xfId="113" builtinId="9" hidden="1"/>
    <cellStyle name="Besuchter Hyperlink" xfId="114" builtinId="9" hidden="1"/>
    <cellStyle name="Besuchter Hyperlink" xfId="115" builtinId="9" hidden="1"/>
    <cellStyle name="Besuchter Hyperlink" xfId="116" builtinId="9" hidden="1"/>
    <cellStyle name="Besuchter Hyperlink" xfId="117" builtinId="9" hidden="1"/>
    <cellStyle name="Besuchter Hyperlink" xfId="118" builtinId="9" hidden="1"/>
    <cellStyle name="Besuchter Hyperlink" xfId="119" builtinId="9" hidden="1"/>
    <cellStyle name="Besuchter Hyperlink" xfId="120" builtinId="9" hidden="1"/>
    <cellStyle name="Besuchter Hyperlink" xfId="121" builtinId="9" hidden="1"/>
    <cellStyle name="Besuchter Hyperlink" xfId="122" builtinId="9" hidden="1"/>
    <cellStyle name="Besuchter Hyperlink" xfId="123" builtinId="9" hidden="1"/>
    <cellStyle name="Besuchter Hyperlink" xfId="124" builtinId="9" hidden="1"/>
    <cellStyle name="Besuchter Hyperlink" xfId="125" builtinId="9" hidden="1"/>
    <cellStyle name="Besuchter Hyperlink" xfId="126" builtinId="9" hidden="1"/>
    <cellStyle name="Besuchter Hyperlink" xfId="127" builtinId="9" hidden="1"/>
    <cellStyle name="Besuchter Hyperlink" xfId="128" builtinId="9" hidden="1"/>
    <cellStyle name="Besuchter Hyperlink" xfId="129" builtinId="9" hidden="1"/>
    <cellStyle name="Besuchter Hyperlink" xfId="130" builtinId="9" hidden="1"/>
    <cellStyle name="Besuchter Hyperlink" xfId="131" builtinId="9" hidden="1"/>
    <cellStyle name="Besuchter Hyperlink" xfId="132" builtinId="9" hidden="1"/>
    <cellStyle name="Besuchter Hyperlink" xfId="133" builtinId="9" hidden="1"/>
    <cellStyle name="Besuchter Hyperlink" xfId="134" builtinId="9" hidden="1"/>
    <cellStyle name="Besuchter Hyperlink" xfId="135" builtinId="9" hidden="1"/>
    <cellStyle name="Besuchter Hyperlink" xfId="136" builtinId="9" hidden="1"/>
    <cellStyle name="Besuchter Hyperlink" xfId="137" builtinId="9" hidden="1"/>
    <cellStyle name="Besuchter Hyperlink" xfId="138" builtinId="9" hidden="1"/>
    <cellStyle name="Besuchter Hyperlink" xfId="139" builtinId="9" hidden="1"/>
    <cellStyle name="Besuchter Hyperlink" xfId="140" builtinId="9" hidden="1"/>
    <cellStyle name="Besuchter Hyperlink" xfId="141" builtinId="9" hidden="1"/>
    <cellStyle name="Besuchter Hyperlink" xfId="142" builtinId="9" hidden="1"/>
    <cellStyle name="Besuchter Hyperlink" xfId="143" builtinId="9" hidden="1"/>
    <cellStyle name="Besuchter Hyperlink" xfId="144" builtinId="9" hidden="1"/>
    <cellStyle name="Besuchter Hyperlink" xfId="145" builtinId="9" hidden="1"/>
    <cellStyle name="Besuchter Hyperlink" xfId="146" builtinId="9" hidden="1"/>
    <cellStyle name="Besuchter Hyperlink" xfId="147" builtinId="9" hidden="1"/>
    <cellStyle name="Besuchter Hyperlink" xfId="148" builtinId="9" hidden="1"/>
    <cellStyle name="Besuchter Hyperlink" xfId="149" builtinId="9" hidden="1"/>
    <cellStyle name="Besuchter Hyperlink" xfId="150" builtinId="9" hidden="1"/>
    <cellStyle name="Besuchter Hyperlink" xfId="151" builtinId="9" hidden="1"/>
    <cellStyle name="Besuchter Hyperlink" xfId="152" builtinId="9" hidden="1"/>
    <cellStyle name="Besuchter Hyperlink" xfId="153" builtinId="9" hidden="1"/>
    <cellStyle name="Besuchter Hyperlink" xfId="154" builtinId="9" hidden="1"/>
    <cellStyle name="Besuchter Hyperlink" xfId="155" builtinId="9" hidden="1"/>
    <cellStyle name="Besuchter Hyperlink" xfId="156" builtinId="9" hidden="1"/>
    <cellStyle name="Besuchter Hyperlink" xfId="157" builtinId="9" hidden="1"/>
    <cellStyle name="Besuchter Hyperlink" xfId="158" builtinId="9" hidden="1"/>
    <cellStyle name="Besuchter Hyperlink" xfId="159" builtinId="9" hidden="1"/>
    <cellStyle name="Besuchter Hyperlink" xfId="160" builtinId="9" hidden="1"/>
    <cellStyle name="Besuchter Hyperlink" xfId="161" builtinId="9" hidden="1"/>
    <cellStyle name="Besuchter Hyperlink" xfId="162" builtinId="9" hidden="1"/>
    <cellStyle name="Besuchter Hyperlink" xfId="163" builtinId="9" hidden="1"/>
    <cellStyle name="Besuchter Hyperlink" xfId="164" builtinId="9" hidden="1"/>
    <cellStyle name="Besuchter Hyperlink" xfId="165" builtinId="9" hidden="1"/>
    <cellStyle name="Besuchter Hyperlink" xfId="166" builtinId="9" hidden="1"/>
    <cellStyle name="Besuchter Hyperlink" xfId="167" builtinId="9" hidden="1"/>
    <cellStyle name="Besuchter Hyperlink" xfId="168" builtinId="9" hidden="1"/>
    <cellStyle name="Besuchter Hyperlink" xfId="169" builtinId="9" hidden="1"/>
    <cellStyle name="Besuchter Hyperlink" xfId="170" builtinId="9" hidden="1"/>
    <cellStyle name="Besuchter Hyperlink" xfId="171" builtinId="9" hidden="1"/>
    <cellStyle name="Besuchter Hyperlink" xfId="172" builtinId="9" hidden="1"/>
    <cellStyle name="Besuchter Hyperlink" xfId="173" builtinId="9" hidden="1"/>
    <cellStyle name="Besuchter Hyperlink" xfId="174" builtinId="9" hidden="1"/>
    <cellStyle name="Besuchter Hyperlink" xfId="175" builtinId="9" hidden="1"/>
    <cellStyle name="Besuchter Hyperlink" xfId="176" builtinId="9" hidden="1"/>
    <cellStyle name="Komma" xfId="1" builtinId="3"/>
    <cellStyle name="Link" xfId="2" builtinId="8"/>
    <cellStyle name="Prozent" xfId="3" builtinId="5"/>
    <cellStyle name="Standard" xfId="0" builtinId="0"/>
  </cellStyles>
  <dxfs count="9">
    <dxf>
      <font>
        <color theme="7" tint="0.79998168889431442"/>
      </font>
      <fill>
        <patternFill>
          <bgColor theme="7" tint="0.79998168889431442"/>
        </patternFill>
      </fill>
    </dxf>
    <dxf>
      <numFmt numFmtId="13" formatCode="0%"/>
    </dxf>
    <dxf>
      <font>
        <color theme="1"/>
      </font>
      <numFmt numFmtId="13" formatCode="0%"/>
      <fill>
        <patternFill patternType="none">
          <bgColor auto="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croll" dx="22" fmlaLink="$D$21" horiz="1" max="100" page="10" val="24"/>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accueil-vacances'!C6"/><Relationship Id="rId7" Type="http://schemas.openxmlformats.org/officeDocument/2006/relationships/image" Target="../media/image1.png"/><Relationship Id="rId2" Type="http://schemas.openxmlformats.org/officeDocument/2006/relationships/hyperlink" Target="#angebot"/><Relationship Id="rId1" Type="http://schemas.openxmlformats.org/officeDocument/2006/relationships/hyperlink" Target="#adminleitung"/><Relationship Id="rId6" Type="http://schemas.openxmlformats.org/officeDocument/2006/relationships/hyperlink" Target="#tarif"/><Relationship Id="rId5" Type="http://schemas.openxmlformats.org/officeDocument/2006/relationships/hyperlink" Target="#personalprotag"/><Relationship Id="rId10" Type="http://schemas.openxmlformats.org/officeDocument/2006/relationships/image" Target="../media/image4.jpeg"/><Relationship Id="rId4" Type="http://schemas.openxmlformats.org/officeDocument/2006/relationships/hyperlink" Target="#sozialv"/><Relationship Id="rId9"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21</xdr:row>
          <xdr:rowOff>114300</xdr:rowOff>
        </xdr:from>
        <xdr:to>
          <xdr:col>4</xdr:col>
          <xdr:colOff>390525</xdr:colOff>
          <xdr:row>22</xdr:row>
          <xdr:rowOff>104775</xdr:rowOff>
        </xdr:to>
        <xdr:sp macro="" textlink="">
          <xdr:nvSpPr>
            <xdr:cNvPr id="21505" name="Scroll Bar 1" hidden="1">
              <a:extLst>
                <a:ext uri="{63B3BB69-23CF-44E3-9099-C40C66FF867C}">
                  <a14:compatExt spid="_x0000_s21505"/>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6</xdr:col>
      <xdr:colOff>426326</xdr:colOff>
      <xdr:row>20</xdr:row>
      <xdr:rowOff>86178</xdr:rowOff>
    </xdr:from>
    <xdr:to>
      <xdr:col>18</xdr:col>
      <xdr:colOff>128182</xdr:colOff>
      <xdr:row>25</xdr:row>
      <xdr:rowOff>94934</xdr:rowOff>
    </xdr:to>
    <xdr:sp macro="" textlink="">
      <xdr:nvSpPr>
        <xdr:cNvPr id="3" name="Bogen 2"/>
        <xdr:cNvSpPr/>
      </xdr:nvSpPr>
      <xdr:spPr>
        <a:xfrm rot="16470715">
          <a:off x="5754513" y="1282616"/>
          <a:ext cx="1151756" cy="6397930"/>
        </a:xfrm>
        <a:prstGeom prst="arc">
          <a:avLst>
            <a:gd name="adj1" fmla="val 16810778"/>
            <a:gd name="adj2" fmla="val 1399669"/>
          </a:avLst>
        </a:prstGeom>
        <a:ln w="76200">
          <a:solidFill>
            <a:schemeClr val="bg1">
              <a:lumMod val="50000"/>
              <a:alpha val="6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fPrintsWithSheet="0"/>
  </xdr:twoCellAnchor>
  <xdr:twoCellAnchor editAs="oneCell">
    <xdr:from>
      <xdr:col>11</xdr:col>
      <xdr:colOff>321215</xdr:colOff>
      <xdr:row>13</xdr:row>
      <xdr:rowOff>20776</xdr:rowOff>
    </xdr:from>
    <xdr:to>
      <xdr:col>14</xdr:col>
      <xdr:colOff>397044</xdr:colOff>
      <xdr:row>23</xdr:row>
      <xdr:rowOff>154378</xdr:rowOff>
    </xdr:to>
    <xdr:sp macro="" textlink="">
      <xdr:nvSpPr>
        <xdr:cNvPr id="4" name="Bogen 3"/>
        <xdr:cNvSpPr/>
      </xdr:nvSpPr>
      <xdr:spPr>
        <a:xfrm rot="11729678" flipH="1" flipV="1">
          <a:off x="5569490" y="2297251"/>
          <a:ext cx="1571254" cy="2495802"/>
        </a:xfrm>
        <a:prstGeom prst="arc">
          <a:avLst>
            <a:gd name="adj1" fmla="val 19004171"/>
            <a:gd name="adj2" fmla="val 21542638"/>
          </a:avLst>
        </a:prstGeom>
        <a:ln w="76200">
          <a:solidFill>
            <a:schemeClr val="bg1">
              <a:lumMod val="50000"/>
              <a:alpha val="6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fPrintsWithSheet="0"/>
  </xdr:twoCellAnchor>
  <xdr:twoCellAnchor editAs="oneCell">
    <xdr:from>
      <xdr:col>19</xdr:col>
      <xdr:colOff>12700</xdr:colOff>
      <xdr:row>97</xdr:row>
      <xdr:rowOff>249585</xdr:rowOff>
    </xdr:from>
    <xdr:to>
      <xdr:col>31</xdr:col>
      <xdr:colOff>377687</xdr:colOff>
      <xdr:row>107</xdr:row>
      <xdr:rowOff>295274</xdr:rowOff>
    </xdr:to>
    <xdr:sp macro="" textlink="">
      <xdr:nvSpPr>
        <xdr:cNvPr id="2" name="Textfeld 1"/>
        <xdr:cNvSpPr txBox="1"/>
      </xdr:nvSpPr>
      <xdr:spPr>
        <a:xfrm>
          <a:off x="10423525" y="20756910"/>
          <a:ext cx="4117837" cy="287461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solidFill>
                <a:schemeClr val="dk1"/>
              </a:solidFill>
              <a:effectLst/>
              <a:latin typeface="Arial" panose="020B0604020202020204" pitchFamily="34" charset="0"/>
              <a:ea typeface="+mn-ea"/>
              <a:cs typeface="Arial" panose="020B0604020202020204" pitchFamily="34" charset="0"/>
            </a:rPr>
            <a:t>Le nombre d’enfants par personne assurant la prise en charge est déterminé de sorte à pouvoir garantir une prise en charge adaptée. Ce faisant, les points suivants doivent en particulier être pris en compte (art. 20b, al. 4 OEO) :</a:t>
          </a:r>
        </a:p>
        <a:p>
          <a:endParaRPr lang="de-CH" sz="1050">
            <a:effectLst/>
            <a:latin typeface="Arial" panose="020B0604020202020204" pitchFamily="34" charset="0"/>
            <a:cs typeface="Arial" panose="020B0604020202020204" pitchFamily="34" charset="0"/>
          </a:endParaRPr>
        </a:p>
        <a:p>
          <a:r>
            <a:rPr lang="de-CH" sz="1100">
              <a:solidFill>
                <a:schemeClr val="dk1"/>
              </a:solidFill>
              <a:effectLst/>
              <a:latin typeface="Arial" panose="020B0604020202020204" pitchFamily="34" charset="0"/>
              <a:ea typeface="+mn-ea"/>
              <a:cs typeface="Arial" panose="020B0604020202020204" pitchFamily="34" charset="0"/>
            </a:rPr>
            <a:t>&gt; l’âge des enfants,</a:t>
          </a:r>
          <a:endParaRPr lang="de-CH" sz="1050">
            <a:effectLst/>
            <a:latin typeface="Arial" panose="020B0604020202020204" pitchFamily="34" charset="0"/>
            <a:cs typeface="Arial" panose="020B0604020202020204" pitchFamily="34" charset="0"/>
          </a:endParaRPr>
        </a:p>
        <a:p>
          <a:r>
            <a:rPr lang="de-CH" sz="1100">
              <a:solidFill>
                <a:schemeClr val="dk1"/>
              </a:solidFill>
              <a:effectLst/>
              <a:latin typeface="Arial" panose="020B0604020202020204" pitchFamily="34" charset="0"/>
              <a:ea typeface="+mn-ea"/>
              <a:cs typeface="Arial" panose="020B0604020202020204" pitchFamily="34" charset="0"/>
            </a:rPr>
            <a:t>&gt; les besoins spécifiques de certains d’entre eux,</a:t>
          </a:r>
          <a:endParaRPr lang="de-CH" sz="1050">
            <a:effectLst/>
            <a:latin typeface="Arial" panose="020B0604020202020204" pitchFamily="34" charset="0"/>
            <a:cs typeface="Arial" panose="020B0604020202020204" pitchFamily="34" charset="0"/>
          </a:endParaRPr>
        </a:p>
        <a:p>
          <a:r>
            <a:rPr lang="de-CH" sz="1100">
              <a:solidFill>
                <a:schemeClr val="dk1"/>
              </a:solidFill>
              <a:effectLst/>
              <a:latin typeface="Arial" panose="020B0604020202020204" pitchFamily="34" charset="0"/>
              <a:ea typeface="+mn-ea"/>
              <a:cs typeface="Arial" panose="020B0604020202020204" pitchFamily="34" charset="0"/>
            </a:rPr>
            <a:t>&gt; le contenu de l’offre,</a:t>
          </a:r>
          <a:endParaRPr lang="de-CH" sz="1050">
            <a:effectLst/>
            <a:latin typeface="Arial" panose="020B0604020202020204" pitchFamily="34" charset="0"/>
            <a:cs typeface="Arial" panose="020B0604020202020204" pitchFamily="34" charset="0"/>
          </a:endParaRPr>
        </a:p>
        <a:p>
          <a:r>
            <a:rPr lang="de-CH" sz="1100">
              <a:solidFill>
                <a:schemeClr val="dk1"/>
              </a:solidFill>
              <a:effectLst/>
              <a:latin typeface="Arial" panose="020B0604020202020204" pitchFamily="34" charset="0"/>
              <a:ea typeface="+mn-ea"/>
              <a:cs typeface="Arial" panose="020B0604020202020204" pitchFamily="34" charset="0"/>
            </a:rPr>
            <a:t>&gt; la composition du groupe,</a:t>
          </a:r>
          <a:endParaRPr lang="de-CH" sz="1050">
            <a:effectLst/>
            <a:latin typeface="Arial" panose="020B0604020202020204" pitchFamily="34" charset="0"/>
            <a:cs typeface="Arial" panose="020B0604020202020204" pitchFamily="34" charset="0"/>
          </a:endParaRPr>
        </a:p>
        <a:p>
          <a:r>
            <a:rPr lang="de-CH" sz="1100">
              <a:solidFill>
                <a:schemeClr val="dk1"/>
              </a:solidFill>
              <a:effectLst/>
              <a:latin typeface="Arial" panose="020B0604020202020204" pitchFamily="34" charset="0"/>
              <a:ea typeface="+mn-ea"/>
              <a:cs typeface="Arial" panose="020B0604020202020204" pitchFamily="34" charset="0"/>
            </a:rPr>
            <a:t>&gt; les qualifications des personnes assurant la prise en charge.</a:t>
          </a:r>
        </a:p>
        <a:p>
          <a:endParaRPr lang="de-CH" sz="1050">
            <a:effectLst/>
            <a:latin typeface="Arial" panose="020B0604020202020204" pitchFamily="34" charset="0"/>
            <a:cs typeface="Arial" panose="020B0604020202020204" pitchFamily="34" charset="0"/>
          </a:endParaRPr>
        </a:p>
        <a:p>
          <a:r>
            <a:rPr lang="de-CH" sz="1100">
              <a:solidFill>
                <a:schemeClr val="dk1"/>
              </a:solidFill>
              <a:effectLst/>
              <a:latin typeface="Arial" panose="020B0604020202020204" pitchFamily="34" charset="0"/>
              <a:ea typeface="+mn-ea"/>
              <a:cs typeface="Arial" panose="020B0604020202020204" pitchFamily="34" charset="0"/>
            </a:rPr>
            <a:t>Les activités particulières (excursions p.</a:t>
          </a:r>
          <a:r>
            <a:rPr lang="de-CH" sz="1100" baseline="0">
              <a:solidFill>
                <a:schemeClr val="dk1"/>
              </a:solidFill>
              <a:effectLst/>
              <a:latin typeface="Arial" panose="020B0604020202020204" pitchFamily="34" charset="0"/>
              <a:ea typeface="+mn-ea"/>
              <a:cs typeface="Arial" panose="020B0604020202020204" pitchFamily="34" charset="0"/>
            </a:rPr>
            <a:t> ex.) exigent du personnel supplémentaire</a:t>
          </a:r>
          <a:r>
            <a:rPr lang="de-CH" sz="1100">
              <a:solidFill>
                <a:schemeClr val="dk1"/>
              </a:solidFill>
              <a:effectLst/>
              <a:latin typeface="Arial" panose="020B0604020202020204" pitchFamily="34" charset="0"/>
              <a:ea typeface="+mn-ea"/>
              <a:cs typeface="Arial" panose="020B0604020202020204" pitchFamily="34" charset="0"/>
            </a:rPr>
            <a:t>.</a:t>
          </a:r>
        </a:p>
        <a:p>
          <a:endParaRPr lang="de-CH" sz="1050">
            <a:effectLst/>
            <a:latin typeface="Arial" panose="020B0604020202020204" pitchFamily="34" charset="0"/>
            <a:cs typeface="Arial" panose="020B0604020202020204" pitchFamily="34" charset="0"/>
          </a:endParaRPr>
        </a:p>
        <a:p>
          <a:r>
            <a:rPr lang="de-CH" sz="1100">
              <a:solidFill>
                <a:schemeClr val="dk1"/>
              </a:solidFill>
              <a:effectLst/>
              <a:latin typeface="Arial" panose="020B0604020202020204" pitchFamily="34" charset="0"/>
              <a:ea typeface="+mn-ea"/>
              <a:cs typeface="Arial" panose="020B0604020202020204" pitchFamily="34" charset="0"/>
            </a:rPr>
            <a:t>La prise en</a:t>
          </a:r>
          <a:r>
            <a:rPr lang="de-CH" sz="1100" baseline="0">
              <a:solidFill>
                <a:schemeClr val="dk1"/>
              </a:solidFill>
              <a:effectLst/>
              <a:latin typeface="Arial" panose="020B0604020202020204" pitchFamily="34" charset="0"/>
              <a:ea typeface="+mn-ea"/>
              <a:cs typeface="Arial" panose="020B0604020202020204" pitchFamily="34" charset="0"/>
            </a:rPr>
            <a:t> charge des </a:t>
          </a:r>
          <a:r>
            <a:rPr lang="de-CH" sz="1100">
              <a:solidFill>
                <a:schemeClr val="dk1"/>
              </a:solidFill>
              <a:effectLst/>
              <a:latin typeface="Arial" panose="020B0604020202020204" pitchFamily="34" charset="0"/>
              <a:ea typeface="+mn-ea"/>
              <a:cs typeface="Arial" panose="020B0604020202020204" pitchFamily="34" charset="0"/>
            </a:rPr>
            <a:t>enfants est assurée par des personnes disposant des aptitudes</a:t>
          </a:r>
          <a:r>
            <a:rPr lang="de-CH" sz="1100" baseline="0">
              <a:solidFill>
                <a:schemeClr val="dk1"/>
              </a:solidFill>
              <a:effectLst/>
              <a:latin typeface="Arial" panose="020B0604020202020204" pitchFamily="34" charset="0"/>
              <a:ea typeface="+mn-ea"/>
              <a:cs typeface="Arial" panose="020B0604020202020204" pitchFamily="34" charset="0"/>
            </a:rPr>
            <a:t> et de l'expérience nécessaires dans la prise en charge d'enfants</a:t>
          </a:r>
          <a:r>
            <a:rPr lang="de-CH" sz="1100">
              <a:solidFill>
                <a:schemeClr val="dk1"/>
              </a:solidFill>
              <a:effectLst/>
              <a:latin typeface="Arial" panose="020B0604020202020204" pitchFamily="34" charset="0"/>
              <a:ea typeface="+mn-ea"/>
              <a:cs typeface="Arial" panose="020B0604020202020204" pitchFamily="34" charset="0"/>
            </a:rPr>
            <a:t>.</a:t>
          </a:r>
          <a:endParaRPr lang="de-CH" sz="1050">
            <a:effectLst/>
            <a:latin typeface="Arial" panose="020B0604020202020204" pitchFamily="34" charset="0"/>
            <a:cs typeface="Arial" panose="020B0604020202020204" pitchFamily="34" charset="0"/>
          </a:endParaRPr>
        </a:p>
      </xdr:txBody>
    </xdr:sp>
    <xdr:clientData/>
  </xdr:twoCellAnchor>
  <xdr:twoCellAnchor editAs="oneCell">
    <xdr:from>
      <xdr:col>8</xdr:col>
      <xdr:colOff>668011</xdr:colOff>
      <xdr:row>0</xdr:row>
      <xdr:rowOff>84951</xdr:rowOff>
    </xdr:from>
    <xdr:to>
      <xdr:col>21</xdr:col>
      <xdr:colOff>45983</xdr:colOff>
      <xdr:row>3</xdr:row>
      <xdr:rowOff>709448</xdr:rowOff>
    </xdr:to>
    <xdr:sp macro="" textlink="">
      <xdr:nvSpPr>
        <xdr:cNvPr id="7" name="Textfeld 6"/>
        <xdr:cNvSpPr txBox="1"/>
      </xdr:nvSpPr>
      <xdr:spPr>
        <a:xfrm>
          <a:off x="5456787" y="84951"/>
          <a:ext cx="6373920" cy="233899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a:solidFill>
                <a:schemeClr val="dk1"/>
              </a:solidFill>
              <a:effectLst/>
              <a:latin typeface="Arial" panose="020B0604020202020204" pitchFamily="34" charset="0"/>
              <a:ea typeface="+mn-ea"/>
              <a:cs typeface="Arial" panose="020B0604020202020204" pitchFamily="34" charset="0"/>
            </a:rPr>
            <a:t>Outil budgétaire</a:t>
          </a:r>
          <a:r>
            <a:rPr lang="de-CH" sz="1050" b="1" baseline="0">
              <a:solidFill>
                <a:schemeClr val="dk1"/>
              </a:solidFill>
              <a:effectLst/>
              <a:latin typeface="Arial" panose="020B0604020202020204" pitchFamily="34" charset="0"/>
              <a:ea typeface="+mn-ea"/>
              <a:cs typeface="Arial" panose="020B0604020202020204" pitchFamily="34" charset="0"/>
            </a:rPr>
            <a:t> </a:t>
          </a:r>
          <a:r>
            <a:rPr lang="de-CH" sz="1100" b="1">
              <a:solidFill>
                <a:schemeClr val="dk1"/>
              </a:solidFill>
              <a:effectLst/>
              <a:latin typeface="+mn-lt"/>
              <a:ea typeface="+mn-ea"/>
              <a:cs typeface="+mn-cs"/>
              <a:sym typeface="Symbol" panose="05050102010706020507" pitchFamily="18" charset="2"/>
            </a:rPr>
            <a:t> </a:t>
          </a:r>
          <a:r>
            <a:rPr lang="de-CH" sz="1050" b="1">
              <a:solidFill>
                <a:schemeClr val="dk1"/>
              </a:solidFill>
              <a:effectLst/>
              <a:latin typeface="Arial" panose="020B0604020202020204" pitchFamily="34" charset="0"/>
              <a:ea typeface="+mn-ea"/>
              <a:cs typeface="Arial" panose="020B0604020202020204" pitchFamily="34" charset="0"/>
            </a:rPr>
            <a:t>Instructions</a:t>
          </a:r>
        </a:p>
        <a:p>
          <a:endParaRPr lang="de-CH" sz="1050">
            <a:effectLst/>
            <a:latin typeface="Arial" panose="020B0604020202020204" pitchFamily="34" charset="0"/>
            <a:cs typeface="Arial" panose="020B0604020202020204" pitchFamily="34" charset="0"/>
          </a:endParaRPr>
        </a:p>
        <a:p>
          <a:endParaRPr lang="de-CH" sz="1050">
            <a:effectLst/>
            <a:latin typeface="Arial" panose="020B0604020202020204" pitchFamily="34" charset="0"/>
            <a:cs typeface="Arial" panose="020B0604020202020204" pitchFamily="34" charset="0"/>
          </a:endParaRPr>
        </a:p>
        <a:p>
          <a:r>
            <a:rPr lang="de-CH" sz="1050">
              <a:solidFill>
                <a:schemeClr val="dk1"/>
              </a:solidFill>
              <a:effectLst/>
              <a:latin typeface="Arial" panose="020B0604020202020204" pitchFamily="34" charset="0"/>
              <a:ea typeface="+mn-ea"/>
              <a:cs typeface="Arial" panose="020B0604020202020204" pitchFamily="34" charset="0"/>
            </a:rPr>
            <a:t>Les </a:t>
          </a:r>
          <a:r>
            <a:rPr lang="de-CH" sz="1050" b="1">
              <a:solidFill>
                <a:schemeClr val="dk1"/>
              </a:solidFill>
              <a:effectLst/>
              <a:latin typeface="Arial" panose="020B0604020202020204" pitchFamily="34" charset="0"/>
              <a:ea typeface="+mn-ea"/>
              <a:cs typeface="Arial" panose="020B0604020202020204" pitchFamily="34" charset="0"/>
            </a:rPr>
            <a:t>champs jaunes </a:t>
          </a:r>
          <a:r>
            <a:rPr lang="de-CH" sz="1050">
              <a:solidFill>
                <a:schemeClr val="dk1"/>
              </a:solidFill>
              <a:effectLst/>
              <a:latin typeface="Arial" panose="020B0604020202020204" pitchFamily="34" charset="0"/>
              <a:ea typeface="+mn-ea"/>
              <a:cs typeface="Arial" panose="020B0604020202020204" pitchFamily="34" charset="0"/>
            </a:rPr>
            <a:t>vous permettent d'indiquer</a:t>
          </a:r>
          <a:r>
            <a:rPr lang="de-CH" sz="1050" baseline="0">
              <a:solidFill>
                <a:schemeClr val="dk1"/>
              </a:solidFill>
              <a:effectLst/>
              <a:latin typeface="Arial" panose="020B0604020202020204" pitchFamily="34" charset="0"/>
              <a:ea typeface="+mn-ea"/>
              <a:cs typeface="Arial" panose="020B0604020202020204" pitchFamily="34" charset="0"/>
            </a:rPr>
            <a:t> les paramètres spécifiques </a:t>
          </a:r>
        </a:p>
        <a:p>
          <a:r>
            <a:rPr lang="de-CH" sz="1050" baseline="0">
              <a:solidFill>
                <a:schemeClr val="dk1"/>
              </a:solidFill>
              <a:effectLst/>
              <a:latin typeface="Arial" panose="020B0604020202020204" pitchFamily="34" charset="0"/>
              <a:ea typeface="+mn-ea"/>
              <a:cs typeface="Arial" panose="020B0604020202020204" pitchFamily="34" charset="0"/>
            </a:rPr>
            <a:t>à votre structure d'accueil durant les vacances scolaires.</a:t>
          </a:r>
        </a:p>
        <a:p>
          <a:endParaRPr lang="de-CH" sz="1050">
            <a:effectLst/>
            <a:latin typeface="Arial" panose="020B0604020202020204" pitchFamily="34" charset="0"/>
            <a:cs typeface="Arial" panose="020B0604020202020204" pitchFamily="34" charset="0"/>
          </a:endParaRPr>
        </a:p>
        <a:p>
          <a:endParaRPr lang="de-CH" sz="1050">
            <a:effectLst/>
            <a:latin typeface="Arial" panose="020B0604020202020204" pitchFamily="34" charset="0"/>
            <a:cs typeface="Arial" panose="020B0604020202020204" pitchFamily="34" charset="0"/>
          </a:endParaRPr>
        </a:p>
        <a:p>
          <a:r>
            <a:rPr lang="de-CH" sz="1050" baseline="0">
              <a:solidFill>
                <a:schemeClr val="dk1"/>
              </a:solidFill>
              <a:effectLst/>
              <a:latin typeface="Arial" panose="020B0604020202020204" pitchFamily="34" charset="0"/>
              <a:ea typeface="+mn-ea"/>
              <a:cs typeface="Arial" panose="020B0604020202020204" pitchFamily="34" charset="0"/>
            </a:rPr>
            <a:t>Les </a:t>
          </a:r>
          <a:r>
            <a:rPr lang="de-CH" sz="1050" b="1" baseline="0">
              <a:solidFill>
                <a:schemeClr val="dk1"/>
              </a:solidFill>
              <a:effectLst/>
              <a:latin typeface="Arial" panose="020B0604020202020204" pitchFamily="34" charset="0"/>
              <a:ea typeface="+mn-ea"/>
              <a:cs typeface="Arial" panose="020B0604020202020204" pitchFamily="34" charset="0"/>
            </a:rPr>
            <a:t>champs jaune clair </a:t>
          </a:r>
          <a:r>
            <a:rPr lang="de-CH" sz="1050" baseline="0">
              <a:solidFill>
                <a:schemeClr val="dk1"/>
              </a:solidFill>
              <a:effectLst/>
              <a:latin typeface="Arial" panose="020B0604020202020204" pitchFamily="34" charset="0"/>
              <a:ea typeface="+mn-ea"/>
              <a:cs typeface="Arial" panose="020B0604020202020204" pitchFamily="34" charset="0"/>
            </a:rPr>
            <a:t>comprennent un menu déroulant vous permettant </a:t>
          </a:r>
        </a:p>
        <a:p>
          <a:r>
            <a:rPr lang="de-CH" sz="1050" baseline="0">
              <a:solidFill>
                <a:schemeClr val="dk1"/>
              </a:solidFill>
              <a:effectLst/>
              <a:latin typeface="Arial" panose="020B0604020202020204" pitchFamily="34" charset="0"/>
              <a:ea typeface="+mn-ea"/>
              <a:cs typeface="Arial" panose="020B0604020202020204" pitchFamily="34" charset="0"/>
            </a:rPr>
            <a:t>de choisir différents modes de calcul. </a:t>
          </a:r>
        </a:p>
        <a:p>
          <a:endParaRPr lang="de-CH" sz="1050" baseline="0">
            <a:solidFill>
              <a:schemeClr val="dk1"/>
            </a:solidFill>
            <a:effectLst/>
            <a:latin typeface="Arial" panose="020B0604020202020204" pitchFamily="34" charset="0"/>
            <a:ea typeface="+mn-ea"/>
            <a:cs typeface="Arial" panose="020B0604020202020204" pitchFamily="34" charset="0"/>
          </a:endParaRPr>
        </a:p>
        <a:p>
          <a:endParaRPr lang="de-CH" sz="1050">
            <a:effectLst/>
            <a:latin typeface="Arial" panose="020B0604020202020204" pitchFamily="34" charset="0"/>
            <a:cs typeface="Arial" panose="020B0604020202020204" pitchFamily="34" charset="0"/>
          </a:endParaRPr>
        </a:p>
        <a:p>
          <a:r>
            <a:rPr lang="de-CH" sz="1050" baseline="0">
              <a:solidFill>
                <a:schemeClr val="dk1"/>
              </a:solidFill>
              <a:effectLst/>
              <a:latin typeface="Arial" panose="020B0604020202020204" pitchFamily="34" charset="0"/>
              <a:ea typeface="+mn-ea"/>
              <a:cs typeface="Arial" panose="020B0604020202020204" pitchFamily="34" charset="0"/>
            </a:rPr>
            <a:t>Cliquez sur les </a:t>
          </a:r>
          <a:r>
            <a:rPr lang="de-CH" sz="1050" b="1" baseline="0">
              <a:solidFill>
                <a:schemeClr val="dk1"/>
              </a:solidFill>
              <a:effectLst/>
              <a:latin typeface="Arial" panose="020B0604020202020204" pitchFamily="34" charset="0"/>
              <a:ea typeface="+mn-ea"/>
              <a:cs typeface="Arial" panose="020B0604020202020204" pitchFamily="34" charset="0"/>
            </a:rPr>
            <a:t>champs bleu clair </a:t>
          </a:r>
          <a:r>
            <a:rPr lang="de-CH" sz="1050" baseline="0">
              <a:solidFill>
                <a:schemeClr val="dk1"/>
              </a:solidFill>
              <a:effectLst/>
              <a:latin typeface="Arial" panose="020B0604020202020204" pitchFamily="34" charset="0"/>
              <a:ea typeface="+mn-ea"/>
              <a:cs typeface="Arial" panose="020B0604020202020204" pitchFamily="34" charset="0"/>
            </a:rPr>
            <a:t>pour accéder aux champs détaillés </a:t>
          </a:r>
        </a:p>
        <a:p>
          <a:r>
            <a:rPr lang="de-CH" sz="1050" baseline="0">
              <a:solidFill>
                <a:schemeClr val="dk1"/>
              </a:solidFill>
              <a:effectLst/>
              <a:latin typeface="Arial" panose="020B0604020202020204" pitchFamily="34" charset="0"/>
              <a:ea typeface="+mn-ea"/>
              <a:cs typeface="Arial" panose="020B0604020202020204" pitchFamily="34" charset="0"/>
            </a:rPr>
            <a:t>qui vous permettront de préciser vos données.</a:t>
          </a:r>
          <a:endParaRPr lang="de-CH" sz="1050" baseline="0">
            <a:solidFill>
              <a:schemeClr val="tx1"/>
            </a:solidFill>
            <a:latin typeface="Arial" panose="020B0604020202020204" pitchFamily="34" charset="0"/>
            <a:ea typeface="Arial" charset="0"/>
            <a:cs typeface="Arial" panose="020B0604020202020204" pitchFamily="34" charset="0"/>
          </a:endParaRPr>
        </a:p>
        <a:p>
          <a:endParaRPr lang="de-CH" sz="1050">
            <a:solidFill>
              <a:schemeClr val="tx1"/>
            </a:solidFill>
            <a:latin typeface="Arial" panose="020B0604020202020204" pitchFamily="34" charset="0"/>
            <a:ea typeface="Arial" charset="0"/>
            <a:cs typeface="Arial" panose="020B0604020202020204" pitchFamily="34" charset="0"/>
          </a:endParaRPr>
        </a:p>
      </xdr:txBody>
    </xdr:sp>
    <xdr:clientData/>
  </xdr:twoCellAnchor>
  <xdr:twoCellAnchor editAs="absolute">
    <xdr:from>
      <xdr:col>18</xdr:col>
      <xdr:colOff>624053</xdr:colOff>
      <xdr:row>22</xdr:row>
      <xdr:rowOff>13752</xdr:rowOff>
    </xdr:from>
    <xdr:to>
      <xdr:col>22</xdr:col>
      <xdr:colOff>62078</xdr:colOff>
      <xdr:row>23</xdr:row>
      <xdr:rowOff>88866</xdr:rowOff>
    </xdr:to>
    <xdr:sp macro="" textlink="">
      <xdr:nvSpPr>
        <xdr:cNvPr id="11" name="Legende mit Pfeil nach links 10">
          <a:hlinkClick xmlns:r="http://schemas.openxmlformats.org/officeDocument/2006/relationships" r:id="rId1"/>
        </xdr:cNvPr>
        <xdr:cNvSpPr/>
      </xdr:nvSpPr>
      <xdr:spPr>
        <a:xfrm>
          <a:off x="10451225" y="6944011"/>
          <a:ext cx="2091887" cy="305027"/>
        </a:xfrm>
        <a:prstGeom prst="leftArrowCallout">
          <a:avLst>
            <a:gd name="adj1" fmla="val 36842"/>
            <a:gd name="adj2" fmla="val 42761"/>
            <a:gd name="adj3" fmla="val 62003"/>
            <a:gd name="adj4" fmla="val 83927"/>
          </a:avLst>
        </a:prstGeom>
        <a:solidFill>
          <a:schemeClr val="accent1">
            <a:lumMod val="60000"/>
            <a:lumOff val="4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de-DE" sz="1050">
              <a:solidFill>
                <a:sysClr val="windowText" lastClr="000000"/>
              </a:solidFill>
              <a:effectLst/>
              <a:latin typeface="Arial" panose="020B0604020202020204" pitchFamily="34" charset="0"/>
              <a:ea typeface="+mn-ea"/>
              <a:cs typeface="Arial" panose="020B0604020202020204" pitchFamily="34" charset="0"/>
            </a:rPr>
            <a:t>Direction et administration</a:t>
          </a:r>
          <a:endParaRPr lang="de-CH" sz="1050">
            <a:solidFill>
              <a:sysClr val="windowText" lastClr="000000"/>
            </a:solidFill>
            <a:effectLst/>
            <a:latin typeface="Arial" panose="020B0604020202020204" pitchFamily="34" charset="0"/>
            <a:cs typeface="Arial" panose="020B0604020202020204" pitchFamily="34" charset="0"/>
          </a:endParaRPr>
        </a:p>
      </xdr:txBody>
    </xdr:sp>
    <xdr:clientData fPrintsWithSheet="0"/>
  </xdr:twoCellAnchor>
  <xdr:twoCellAnchor editAs="absolute">
    <xdr:from>
      <xdr:col>4</xdr:col>
      <xdr:colOff>49489</xdr:colOff>
      <xdr:row>10</xdr:row>
      <xdr:rowOff>169369</xdr:rowOff>
    </xdr:from>
    <xdr:to>
      <xdr:col>6</xdr:col>
      <xdr:colOff>868747</xdr:colOff>
      <xdr:row>12</xdr:row>
      <xdr:rowOff>228764</xdr:rowOff>
    </xdr:to>
    <xdr:sp macro="" textlink="">
      <xdr:nvSpPr>
        <xdr:cNvPr id="9" name="Legende mit Pfeil nach unten 8">
          <a:hlinkClick xmlns:r="http://schemas.openxmlformats.org/officeDocument/2006/relationships" r:id="rId2"/>
        </xdr:cNvPr>
        <xdr:cNvSpPr/>
      </xdr:nvSpPr>
      <xdr:spPr>
        <a:xfrm>
          <a:off x="2053023" y="4242128"/>
          <a:ext cx="1935983" cy="499515"/>
        </a:xfrm>
        <a:prstGeom prst="downArrowCallout">
          <a:avLst>
            <a:gd name="adj1" fmla="val 25261"/>
            <a:gd name="adj2" fmla="val 25000"/>
            <a:gd name="adj3" fmla="val 25000"/>
            <a:gd name="adj4" fmla="val 61342"/>
          </a:avLst>
        </a:prstGeom>
        <a:solidFill>
          <a:schemeClr val="accent1">
            <a:lumMod val="60000"/>
            <a:lumOff val="4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de-DE" sz="1100">
              <a:solidFill>
                <a:sysClr val="windowText" lastClr="000000"/>
              </a:solidFill>
              <a:effectLst/>
              <a:latin typeface="Arial" panose="020B0604020202020204" pitchFamily="34" charset="0"/>
              <a:ea typeface="+mn-ea"/>
              <a:cs typeface="Arial" panose="020B0604020202020204" pitchFamily="34" charset="0"/>
            </a:rPr>
            <a:t>Jours par année scolaire</a:t>
          </a:r>
          <a:endParaRPr lang="de-CH" sz="1000">
            <a:solidFill>
              <a:sysClr val="windowText" lastClr="000000"/>
            </a:solidFill>
            <a:effectLst/>
            <a:latin typeface="Arial" panose="020B0604020202020204" pitchFamily="34" charset="0"/>
            <a:cs typeface="Arial" panose="020B0604020202020204" pitchFamily="34" charset="0"/>
          </a:endParaRPr>
        </a:p>
        <a:p>
          <a:pPr marL="0" indent="0" algn="ctr"/>
          <a:endParaRPr lang="de-DE" sz="1000">
            <a:solidFill>
              <a:schemeClr val="tx1"/>
            </a:solidFill>
            <a:latin typeface="Arial" charset="0"/>
            <a:ea typeface="Arial" charset="0"/>
            <a:cs typeface="Arial" charset="0"/>
          </a:endParaRPr>
        </a:p>
      </xdr:txBody>
    </xdr:sp>
    <xdr:clientData fPrintsWithSheet="0"/>
  </xdr:twoCellAnchor>
  <xdr:twoCellAnchor>
    <xdr:from>
      <xdr:col>0</xdr:col>
      <xdr:colOff>38100</xdr:colOff>
      <xdr:row>90</xdr:row>
      <xdr:rowOff>114300</xdr:rowOff>
    </xdr:from>
    <xdr:to>
      <xdr:col>0</xdr:col>
      <xdr:colOff>660400</xdr:colOff>
      <xdr:row>92</xdr:row>
      <xdr:rowOff>12700</xdr:rowOff>
    </xdr:to>
    <xdr:sp macro="" textlink="">
      <xdr:nvSpPr>
        <xdr:cNvPr id="5" name="Legende mit Pfeil nach oben 4">
          <a:hlinkClick xmlns:r="http://schemas.openxmlformats.org/officeDocument/2006/relationships" r:id="rId3"/>
        </xdr:cNvPr>
        <xdr:cNvSpPr/>
      </xdr:nvSpPr>
      <xdr:spPr>
        <a:xfrm>
          <a:off x="38100" y="14630400"/>
          <a:ext cx="622300" cy="533400"/>
        </a:xfrm>
        <a:prstGeom prst="upArrowCallout">
          <a:avLst/>
        </a:prstGeom>
        <a:solidFill>
          <a:schemeClr val="accent1">
            <a:lumMod val="60000"/>
            <a:lumOff val="4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DE" sz="900">
              <a:solidFill>
                <a:schemeClr val="tx1"/>
              </a:solidFill>
              <a:latin typeface="Arial" charset="0"/>
              <a:ea typeface="Arial" charset="0"/>
              <a:cs typeface="Arial" charset="0"/>
            </a:rPr>
            <a:t>retour</a:t>
          </a:r>
          <a:endParaRPr lang="de-DE" sz="1050">
            <a:solidFill>
              <a:schemeClr val="tx1"/>
            </a:solidFill>
            <a:latin typeface="Arial" charset="0"/>
            <a:ea typeface="Arial" charset="0"/>
            <a:cs typeface="Arial" charset="0"/>
          </a:endParaRPr>
        </a:p>
      </xdr:txBody>
    </xdr:sp>
    <xdr:clientData fPrintsWithSheet="0"/>
  </xdr:twoCellAnchor>
  <xdr:twoCellAnchor>
    <xdr:from>
      <xdr:col>0</xdr:col>
      <xdr:colOff>28575</xdr:colOff>
      <xdr:row>95</xdr:row>
      <xdr:rowOff>6350</xdr:rowOff>
    </xdr:from>
    <xdr:to>
      <xdr:col>2</xdr:col>
      <xdr:colOff>3175</xdr:colOff>
      <xdr:row>96</xdr:row>
      <xdr:rowOff>358775</xdr:rowOff>
    </xdr:to>
    <xdr:sp macro="" textlink="">
      <xdr:nvSpPr>
        <xdr:cNvPr id="14" name="Legende mit Pfeil nach oben 13">
          <a:hlinkClick xmlns:r="http://schemas.openxmlformats.org/officeDocument/2006/relationships" r:id="rId3"/>
        </xdr:cNvPr>
        <xdr:cNvSpPr/>
      </xdr:nvSpPr>
      <xdr:spPr>
        <a:xfrm>
          <a:off x="28575" y="19942175"/>
          <a:ext cx="565150" cy="514350"/>
        </a:xfrm>
        <a:prstGeom prst="upArrowCallout">
          <a:avLst/>
        </a:prstGeom>
        <a:solidFill>
          <a:schemeClr val="accent1">
            <a:lumMod val="60000"/>
            <a:lumOff val="4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DE" sz="900">
              <a:solidFill>
                <a:schemeClr val="tx1"/>
              </a:solidFill>
              <a:latin typeface="Arial" charset="0"/>
              <a:ea typeface="Arial" charset="0"/>
              <a:cs typeface="Arial" charset="0"/>
            </a:rPr>
            <a:t>retour</a:t>
          </a:r>
        </a:p>
      </xdr:txBody>
    </xdr:sp>
    <xdr:clientData fPrintsWithSheet="0"/>
  </xdr:twoCellAnchor>
  <xdr:twoCellAnchor>
    <xdr:from>
      <xdr:col>0</xdr:col>
      <xdr:colOff>38100</xdr:colOff>
      <xdr:row>108</xdr:row>
      <xdr:rowOff>152400</xdr:rowOff>
    </xdr:from>
    <xdr:to>
      <xdr:col>0</xdr:col>
      <xdr:colOff>660400</xdr:colOff>
      <xdr:row>111</xdr:row>
      <xdr:rowOff>12700</xdr:rowOff>
    </xdr:to>
    <xdr:sp macro="" textlink="">
      <xdr:nvSpPr>
        <xdr:cNvPr id="15" name="Legende mit Pfeil nach oben 14">
          <a:hlinkClick xmlns:r="http://schemas.openxmlformats.org/officeDocument/2006/relationships" r:id="rId3"/>
        </xdr:cNvPr>
        <xdr:cNvSpPr/>
      </xdr:nvSpPr>
      <xdr:spPr>
        <a:xfrm>
          <a:off x="38100" y="19850100"/>
          <a:ext cx="622300" cy="533400"/>
        </a:xfrm>
        <a:prstGeom prst="upArrowCallout">
          <a:avLst/>
        </a:prstGeom>
        <a:solidFill>
          <a:schemeClr val="accent1">
            <a:lumMod val="60000"/>
            <a:lumOff val="4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DE" sz="900">
              <a:solidFill>
                <a:schemeClr val="tx1"/>
              </a:solidFill>
              <a:latin typeface="Arial" charset="0"/>
              <a:ea typeface="Arial" charset="0"/>
              <a:cs typeface="Arial" charset="0"/>
            </a:rPr>
            <a:t>retour</a:t>
          </a:r>
          <a:endParaRPr lang="de-DE" sz="1050">
            <a:solidFill>
              <a:schemeClr val="tx1"/>
            </a:solidFill>
            <a:latin typeface="Arial" charset="0"/>
            <a:ea typeface="Arial" charset="0"/>
            <a:cs typeface="Arial" charset="0"/>
          </a:endParaRPr>
        </a:p>
      </xdr:txBody>
    </xdr:sp>
    <xdr:clientData fPrintsWithSheet="0"/>
  </xdr:twoCellAnchor>
  <xdr:twoCellAnchor>
    <xdr:from>
      <xdr:col>0</xdr:col>
      <xdr:colOff>25400</xdr:colOff>
      <xdr:row>114</xdr:row>
      <xdr:rowOff>152400</xdr:rowOff>
    </xdr:from>
    <xdr:to>
      <xdr:col>0</xdr:col>
      <xdr:colOff>647700</xdr:colOff>
      <xdr:row>117</xdr:row>
      <xdr:rowOff>0</xdr:rowOff>
    </xdr:to>
    <xdr:sp macro="" textlink="">
      <xdr:nvSpPr>
        <xdr:cNvPr id="16" name="Legende mit Pfeil nach oben 15">
          <a:hlinkClick xmlns:r="http://schemas.openxmlformats.org/officeDocument/2006/relationships" r:id="rId3"/>
        </xdr:cNvPr>
        <xdr:cNvSpPr/>
      </xdr:nvSpPr>
      <xdr:spPr>
        <a:xfrm>
          <a:off x="25400" y="21437600"/>
          <a:ext cx="622300" cy="533400"/>
        </a:xfrm>
        <a:prstGeom prst="upArrowCallout">
          <a:avLst/>
        </a:prstGeom>
        <a:solidFill>
          <a:schemeClr val="accent1">
            <a:lumMod val="60000"/>
            <a:lumOff val="4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DE" sz="900">
              <a:solidFill>
                <a:schemeClr val="tx1"/>
              </a:solidFill>
              <a:latin typeface="Arial" charset="0"/>
              <a:ea typeface="Arial" charset="0"/>
              <a:cs typeface="Arial" charset="0"/>
            </a:rPr>
            <a:t>retour</a:t>
          </a:r>
          <a:endParaRPr lang="de-DE" sz="1050">
            <a:solidFill>
              <a:schemeClr val="tx1"/>
            </a:solidFill>
            <a:latin typeface="Arial" charset="0"/>
            <a:ea typeface="Arial" charset="0"/>
            <a:cs typeface="Arial" charset="0"/>
          </a:endParaRPr>
        </a:p>
      </xdr:txBody>
    </xdr:sp>
    <xdr:clientData fPrintsWithSheet="0"/>
  </xdr:twoCellAnchor>
  <xdr:twoCellAnchor>
    <xdr:from>
      <xdr:col>0</xdr:col>
      <xdr:colOff>21534</xdr:colOff>
      <xdr:row>118</xdr:row>
      <xdr:rowOff>165100</xdr:rowOff>
    </xdr:from>
    <xdr:to>
      <xdr:col>0</xdr:col>
      <xdr:colOff>577159</xdr:colOff>
      <xdr:row>121</xdr:row>
      <xdr:rowOff>12700</xdr:rowOff>
    </xdr:to>
    <xdr:sp macro="" textlink="">
      <xdr:nvSpPr>
        <xdr:cNvPr id="17" name="Legende mit Pfeil nach oben 16">
          <a:hlinkClick xmlns:r="http://schemas.openxmlformats.org/officeDocument/2006/relationships" r:id="rId3"/>
        </xdr:cNvPr>
        <xdr:cNvSpPr/>
      </xdr:nvSpPr>
      <xdr:spPr>
        <a:xfrm>
          <a:off x="21534" y="26346426"/>
          <a:ext cx="555625" cy="518491"/>
        </a:xfrm>
        <a:prstGeom prst="upArrowCallout">
          <a:avLst/>
        </a:prstGeom>
        <a:solidFill>
          <a:schemeClr val="accent1">
            <a:lumMod val="60000"/>
            <a:lumOff val="4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DE" sz="900">
              <a:solidFill>
                <a:schemeClr val="tx1"/>
              </a:solidFill>
              <a:latin typeface="Arial" charset="0"/>
              <a:ea typeface="Arial" charset="0"/>
              <a:cs typeface="Arial" charset="0"/>
            </a:rPr>
            <a:t>retour</a:t>
          </a:r>
          <a:endParaRPr lang="de-DE" sz="1050">
            <a:solidFill>
              <a:schemeClr val="tx1"/>
            </a:solidFill>
            <a:latin typeface="Arial" charset="0"/>
            <a:ea typeface="Arial" charset="0"/>
            <a:cs typeface="Arial" charset="0"/>
          </a:endParaRPr>
        </a:p>
      </xdr:txBody>
    </xdr:sp>
    <xdr:clientData fPrintsWithSheet="0"/>
  </xdr:twoCellAnchor>
  <xdr:twoCellAnchor editAs="absolute">
    <xdr:from>
      <xdr:col>18</xdr:col>
      <xdr:colOff>628334</xdr:colOff>
      <xdr:row>24</xdr:row>
      <xdr:rowOff>25454</xdr:rowOff>
    </xdr:from>
    <xdr:to>
      <xdr:col>22</xdr:col>
      <xdr:colOff>71603</xdr:colOff>
      <xdr:row>25</xdr:row>
      <xdr:rowOff>104167</xdr:rowOff>
    </xdr:to>
    <xdr:sp macro="" textlink="">
      <xdr:nvSpPr>
        <xdr:cNvPr id="19" name="Legende mit Pfeil nach links 18">
          <a:hlinkClick xmlns:r="http://schemas.openxmlformats.org/officeDocument/2006/relationships" r:id="rId4"/>
        </xdr:cNvPr>
        <xdr:cNvSpPr/>
      </xdr:nvSpPr>
      <xdr:spPr>
        <a:xfrm>
          <a:off x="10455506" y="7415540"/>
          <a:ext cx="2097131" cy="308627"/>
        </a:xfrm>
        <a:prstGeom prst="leftArrowCallout">
          <a:avLst>
            <a:gd name="adj1" fmla="val 36842"/>
            <a:gd name="adj2" fmla="val 42761"/>
            <a:gd name="adj3" fmla="val 62003"/>
            <a:gd name="adj4" fmla="val 83927"/>
          </a:avLst>
        </a:prstGeom>
        <a:solidFill>
          <a:schemeClr val="accent1">
            <a:lumMod val="60000"/>
            <a:lumOff val="4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de-DE" sz="1050">
              <a:solidFill>
                <a:sysClr val="windowText" lastClr="000000"/>
              </a:solidFill>
              <a:effectLst/>
              <a:latin typeface="Arial" panose="020B0604020202020204" pitchFamily="34" charset="0"/>
              <a:ea typeface="+mn-ea"/>
              <a:cs typeface="Arial" panose="020B0604020202020204" pitchFamily="34" charset="0"/>
            </a:rPr>
            <a:t>Assurance</a:t>
          </a:r>
          <a:r>
            <a:rPr lang="de-DE" sz="1050" baseline="0">
              <a:solidFill>
                <a:sysClr val="windowText" lastClr="000000"/>
              </a:solidFill>
              <a:effectLst/>
              <a:latin typeface="Arial" panose="020B0604020202020204" pitchFamily="34" charset="0"/>
              <a:ea typeface="+mn-ea"/>
              <a:cs typeface="Arial" panose="020B0604020202020204" pitchFamily="34" charset="0"/>
            </a:rPr>
            <a:t> sociale</a:t>
          </a:r>
          <a:endParaRPr lang="de-CH" sz="1050">
            <a:solidFill>
              <a:sysClr val="windowText" lastClr="000000"/>
            </a:solidFill>
            <a:effectLst/>
            <a:latin typeface="Arial" panose="020B0604020202020204" pitchFamily="34" charset="0"/>
            <a:cs typeface="Arial" panose="020B0604020202020204" pitchFamily="34" charset="0"/>
          </a:endParaRPr>
        </a:p>
      </xdr:txBody>
    </xdr:sp>
    <xdr:clientData fPrintsWithSheet="0"/>
  </xdr:twoCellAnchor>
  <xdr:twoCellAnchor editAs="absolute">
    <xdr:from>
      <xdr:col>18</xdr:col>
      <xdr:colOff>614064</xdr:colOff>
      <xdr:row>19</xdr:row>
      <xdr:rowOff>275944</xdr:rowOff>
    </xdr:from>
    <xdr:to>
      <xdr:col>22</xdr:col>
      <xdr:colOff>319253</xdr:colOff>
      <xdr:row>21</xdr:row>
      <xdr:rowOff>70715</xdr:rowOff>
    </xdr:to>
    <xdr:sp macro="" textlink="">
      <xdr:nvSpPr>
        <xdr:cNvPr id="20" name="Legende mit Pfeil nach links 19">
          <a:hlinkClick xmlns:r="http://schemas.openxmlformats.org/officeDocument/2006/relationships" r:id="rId5"/>
        </xdr:cNvPr>
        <xdr:cNvSpPr/>
      </xdr:nvSpPr>
      <xdr:spPr>
        <a:xfrm>
          <a:off x="10441236" y="6457341"/>
          <a:ext cx="2359051" cy="313719"/>
        </a:xfrm>
        <a:prstGeom prst="leftArrowCallout">
          <a:avLst>
            <a:gd name="adj1" fmla="val 36842"/>
            <a:gd name="adj2" fmla="val 42761"/>
            <a:gd name="adj3" fmla="val 62003"/>
            <a:gd name="adj4" fmla="val 85586"/>
          </a:avLst>
        </a:prstGeom>
        <a:solidFill>
          <a:schemeClr val="accent1">
            <a:lumMod val="60000"/>
            <a:lumOff val="4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de-DE" sz="1050">
              <a:solidFill>
                <a:schemeClr val="tx1"/>
              </a:solidFill>
              <a:latin typeface="Arial" charset="0"/>
              <a:ea typeface="Arial" charset="0"/>
              <a:cs typeface="Arial" charset="0"/>
            </a:rPr>
            <a:t>Nombre de personnes par jour</a:t>
          </a:r>
        </a:p>
      </xdr:txBody>
    </xdr:sp>
    <xdr:clientData fPrintsWithSheet="0"/>
  </xdr:twoCellAnchor>
  <xdr:twoCellAnchor editAs="absolute">
    <xdr:from>
      <xdr:col>0</xdr:col>
      <xdr:colOff>434283</xdr:colOff>
      <xdr:row>27</xdr:row>
      <xdr:rowOff>250515</xdr:rowOff>
    </xdr:from>
    <xdr:to>
      <xdr:col>3</xdr:col>
      <xdr:colOff>208489</xdr:colOff>
      <xdr:row>29</xdr:row>
      <xdr:rowOff>46661</xdr:rowOff>
    </xdr:to>
    <xdr:sp macro="" textlink="">
      <xdr:nvSpPr>
        <xdr:cNvPr id="6" name="Legende mit Pfeil nach rechts 5">
          <a:hlinkClick xmlns:r="http://schemas.openxmlformats.org/officeDocument/2006/relationships" r:id="rId6"/>
        </xdr:cNvPr>
        <xdr:cNvSpPr/>
      </xdr:nvSpPr>
      <xdr:spPr>
        <a:xfrm>
          <a:off x="434283" y="8212101"/>
          <a:ext cx="1107706" cy="301957"/>
        </a:xfrm>
        <a:prstGeom prst="rightArrowCallout">
          <a:avLst>
            <a:gd name="adj1" fmla="val 34669"/>
            <a:gd name="adj2" fmla="val 39441"/>
            <a:gd name="adj3" fmla="val 57482"/>
            <a:gd name="adj4" fmla="val 77385"/>
          </a:avLst>
        </a:prstGeom>
        <a:solidFill>
          <a:schemeClr val="accent1">
            <a:lumMod val="60000"/>
            <a:lumOff val="4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DE" sz="1050">
              <a:solidFill>
                <a:schemeClr val="tx1"/>
              </a:solidFill>
              <a:latin typeface="Arial" charset="0"/>
              <a:ea typeface="Arial" charset="0"/>
              <a:cs typeface="Arial" charset="0"/>
            </a:rPr>
            <a:t>Tarifs</a:t>
          </a:r>
        </a:p>
      </xdr:txBody>
    </xdr:sp>
    <xdr:clientData fPrintsWithSheet="0"/>
  </xdr:twoCellAnchor>
  <xdr:twoCellAnchor editAs="oneCell">
    <xdr:from>
      <xdr:col>14</xdr:col>
      <xdr:colOff>366606</xdr:colOff>
      <xdr:row>87</xdr:row>
      <xdr:rowOff>180043</xdr:rowOff>
    </xdr:from>
    <xdr:to>
      <xdr:col>18</xdr:col>
      <xdr:colOff>852219</xdr:colOff>
      <xdr:row>92</xdr:row>
      <xdr:rowOff>131633</xdr:rowOff>
    </xdr:to>
    <xdr:sp macro="" textlink="">
      <xdr:nvSpPr>
        <xdr:cNvPr id="21" name="Bogen 20"/>
        <xdr:cNvSpPr/>
      </xdr:nvSpPr>
      <xdr:spPr>
        <a:xfrm rot="13998476" flipH="1">
          <a:off x="7595150" y="17285803"/>
          <a:ext cx="1574981" cy="2531417"/>
        </a:xfrm>
        <a:prstGeom prst="arc">
          <a:avLst>
            <a:gd name="adj1" fmla="val 19004171"/>
            <a:gd name="adj2" fmla="val 21542638"/>
          </a:avLst>
        </a:prstGeom>
        <a:ln w="76200">
          <a:solidFill>
            <a:schemeClr val="bg1">
              <a:lumMod val="50000"/>
              <a:alpha val="6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fPrintsWithSheet="0"/>
  </xdr:twoCellAnchor>
  <xdr:twoCellAnchor editAs="oneCell">
    <xdr:from>
      <xdr:col>14</xdr:col>
      <xdr:colOff>372718</xdr:colOff>
      <xdr:row>91</xdr:row>
      <xdr:rowOff>149088</xdr:rowOff>
    </xdr:from>
    <xdr:to>
      <xdr:col>18</xdr:col>
      <xdr:colOff>858331</xdr:colOff>
      <xdr:row>97</xdr:row>
      <xdr:rowOff>48084</xdr:rowOff>
    </xdr:to>
    <xdr:sp macro="" textlink="">
      <xdr:nvSpPr>
        <xdr:cNvPr id="22" name="Bogen 21"/>
        <xdr:cNvSpPr/>
      </xdr:nvSpPr>
      <xdr:spPr>
        <a:xfrm rot="13998476" flipH="1">
          <a:off x="7601262" y="18555218"/>
          <a:ext cx="1574981" cy="2531417"/>
        </a:xfrm>
        <a:prstGeom prst="arc">
          <a:avLst>
            <a:gd name="adj1" fmla="val 19004171"/>
            <a:gd name="adj2" fmla="val 21542638"/>
          </a:avLst>
        </a:prstGeom>
        <a:ln w="76200">
          <a:solidFill>
            <a:schemeClr val="bg1">
              <a:lumMod val="50000"/>
              <a:alpha val="6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fPrintsWithSheet="0"/>
  </xdr:twoCellAnchor>
  <xdr:twoCellAnchor editAs="oneCell">
    <xdr:from>
      <xdr:col>14</xdr:col>
      <xdr:colOff>405849</xdr:colOff>
      <xdr:row>104</xdr:row>
      <xdr:rowOff>198782</xdr:rowOff>
    </xdr:from>
    <xdr:to>
      <xdr:col>18</xdr:col>
      <xdr:colOff>891462</xdr:colOff>
      <xdr:row>111</xdr:row>
      <xdr:rowOff>108959</xdr:rowOff>
    </xdr:to>
    <xdr:sp macro="" textlink="">
      <xdr:nvSpPr>
        <xdr:cNvPr id="23" name="Bogen 22"/>
        <xdr:cNvSpPr/>
      </xdr:nvSpPr>
      <xdr:spPr>
        <a:xfrm rot="13998476" flipH="1">
          <a:off x="7634393" y="22340368"/>
          <a:ext cx="1574981" cy="2531417"/>
        </a:xfrm>
        <a:prstGeom prst="arc">
          <a:avLst>
            <a:gd name="adj1" fmla="val 19004171"/>
            <a:gd name="adj2" fmla="val 21542638"/>
          </a:avLst>
        </a:prstGeom>
        <a:ln w="76200">
          <a:solidFill>
            <a:schemeClr val="bg1">
              <a:lumMod val="50000"/>
              <a:alpha val="6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fPrintsWithSheet="0"/>
  </xdr:twoCellAnchor>
  <xdr:twoCellAnchor editAs="oneCell">
    <xdr:from>
      <xdr:col>14</xdr:col>
      <xdr:colOff>389282</xdr:colOff>
      <xdr:row>115</xdr:row>
      <xdr:rowOff>41414</xdr:rowOff>
    </xdr:from>
    <xdr:to>
      <xdr:col>18</xdr:col>
      <xdr:colOff>874895</xdr:colOff>
      <xdr:row>121</xdr:row>
      <xdr:rowOff>142092</xdr:rowOff>
    </xdr:to>
    <xdr:sp macro="" textlink="">
      <xdr:nvSpPr>
        <xdr:cNvPr id="24" name="Bogen 23"/>
        <xdr:cNvSpPr/>
      </xdr:nvSpPr>
      <xdr:spPr>
        <a:xfrm rot="13998476" flipH="1">
          <a:off x="7617826" y="24941109"/>
          <a:ext cx="1574981" cy="2531417"/>
        </a:xfrm>
        <a:prstGeom prst="arc">
          <a:avLst>
            <a:gd name="adj1" fmla="val 19004171"/>
            <a:gd name="adj2" fmla="val 21542638"/>
          </a:avLst>
        </a:prstGeom>
        <a:ln w="76200">
          <a:solidFill>
            <a:schemeClr val="bg1">
              <a:lumMod val="50000"/>
              <a:alpha val="6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fPrintsWithSheet="0"/>
  </xdr:twoCellAnchor>
  <xdr:twoCellAnchor editAs="oneCell">
    <xdr:from>
      <xdr:col>18</xdr:col>
      <xdr:colOff>274584</xdr:colOff>
      <xdr:row>0</xdr:row>
      <xdr:rowOff>553887</xdr:rowOff>
    </xdr:from>
    <xdr:to>
      <xdr:col>19</xdr:col>
      <xdr:colOff>191486</xdr:colOff>
      <xdr:row>0</xdr:row>
      <xdr:rowOff>904642</xdr:rowOff>
    </xdr:to>
    <xdr:pic>
      <xdr:nvPicPr>
        <xdr:cNvPr id="12" name="Grafik 11"/>
        <xdr:cNvPicPr>
          <a:picLocks noChangeAspect="1"/>
        </xdr:cNvPicPr>
      </xdr:nvPicPr>
      <xdr:blipFill>
        <a:blip xmlns:r="http://schemas.openxmlformats.org/officeDocument/2006/relationships" r:embed="rId7"/>
        <a:stretch>
          <a:fillRect/>
        </a:stretch>
      </xdr:blipFill>
      <xdr:spPr>
        <a:xfrm>
          <a:off x="10085334" y="553887"/>
          <a:ext cx="926552" cy="350755"/>
        </a:xfrm>
        <a:prstGeom prst="rect">
          <a:avLst/>
        </a:prstGeom>
        <a:ln>
          <a:solidFill>
            <a:schemeClr val="accent1"/>
          </a:solidFill>
        </a:ln>
      </xdr:spPr>
    </xdr:pic>
    <xdr:clientData fPrintsWithSheet="0"/>
  </xdr:twoCellAnchor>
  <xdr:twoCellAnchor editAs="oneCell">
    <xdr:from>
      <xdr:col>18</xdr:col>
      <xdr:colOff>276882</xdr:colOff>
      <xdr:row>0</xdr:row>
      <xdr:rowOff>1135953</xdr:rowOff>
    </xdr:from>
    <xdr:to>
      <xdr:col>20</xdr:col>
      <xdr:colOff>671020</xdr:colOff>
      <xdr:row>2</xdr:row>
      <xdr:rowOff>39241</xdr:rowOff>
    </xdr:to>
    <xdr:pic>
      <xdr:nvPicPr>
        <xdr:cNvPr id="18" name="Grafik 17"/>
        <xdr:cNvPicPr>
          <a:picLocks noChangeAspect="1"/>
        </xdr:cNvPicPr>
      </xdr:nvPicPr>
      <xdr:blipFill>
        <a:blip xmlns:r="http://schemas.openxmlformats.org/officeDocument/2006/relationships" r:embed="rId8"/>
        <a:stretch>
          <a:fillRect/>
        </a:stretch>
      </xdr:blipFill>
      <xdr:spPr>
        <a:xfrm>
          <a:off x="10087632" y="1135953"/>
          <a:ext cx="1613338" cy="446338"/>
        </a:xfrm>
        <a:prstGeom prst="rect">
          <a:avLst/>
        </a:prstGeom>
        <a:ln>
          <a:solidFill>
            <a:schemeClr val="accent1"/>
          </a:solidFill>
        </a:ln>
      </xdr:spPr>
    </xdr:pic>
    <xdr:clientData fPrintsWithSheet="0"/>
  </xdr:twoCellAnchor>
  <xdr:twoCellAnchor editAs="oneCell">
    <xdr:from>
      <xdr:col>18</xdr:col>
      <xdr:colOff>276883</xdr:colOff>
      <xdr:row>3</xdr:row>
      <xdr:rowOff>76716</xdr:rowOff>
    </xdr:from>
    <xdr:to>
      <xdr:col>21</xdr:col>
      <xdr:colOff>3284</xdr:colOff>
      <xdr:row>3</xdr:row>
      <xdr:rowOff>440582</xdr:rowOff>
    </xdr:to>
    <xdr:pic>
      <xdr:nvPicPr>
        <xdr:cNvPr id="8" name="Grafik 7"/>
        <xdr:cNvPicPr>
          <a:picLocks noChangeAspect="1"/>
        </xdr:cNvPicPr>
      </xdr:nvPicPr>
      <xdr:blipFill>
        <a:blip xmlns:r="http://schemas.openxmlformats.org/officeDocument/2006/relationships" r:embed="rId9"/>
        <a:stretch>
          <a:fillRect/>
        </a:stretch>
      </xdr:blipFill>
      <xdr:spPr>
        <a:xfrm>
          <a:off x="10087633" y="1791216"/>
          <a:ext cx="1679026" cy="363866"/>
        </a:xfrm>
        <a:prstGeom prst="rect">
          <a:avLst/>
        </a:prstGeom>
        <a:ln>
          <a:solidFill>
            <a:schemeClr val="accent1"/>
          </a:solidFill>
        </a:ln>
      </xdr:spPr>
    </xdr:pic>
    <xdr:clientData fPrintsWithSheet="0"/>
  </xdr:twoCellAnchor>
  <xdr:twoCellAnchor editAs="oneCell">
    <xdr:from>
      <xdr:col>0</xdr:col>
      <xdr:colOff>6569</xdr:colOff>
      <xdr:row>0</xdr:row>
      <xdr:rowOff>6568</xdr:rowOff>
    </xdr:from>
    <xdr:to>
      <xdr:col>4</xdr:col>
      <xdr:colOff>390035</xdr:colOff>
      <xdr:row>1</xdr:row>
      <xdr:rowOff>5082</xdr:rowOff>
    </xdr:to>
    <xdr:pic>
      <xdr:nvPicPr>
        <xdr:cNvPr id="26" name="Picture 8" descr="\\AKVB.erz.be.ch\DATA-AKVB\UserHomes\ma3y\Z_Systems\Desktop\Kanton_Bern_RGB_Positiv.jpg"/>
        <xdr:cNvPicPr>
          <a:picLocks noChangeAspect="1" noChangeArrowheads="1"/>
        </xdr:cNvPicPr>
      </xdr:nvPicPr>
      <xdr:blipFill>
        <a:blip xmlns:r="http://schemas.openxmlformats.org/officeDocument/2006/relationships" r:embed="rId10" cstate="hqprint">
          <a:extLst>
            <a:ext uri="{28A0092B-C50C-407E-A947-70E740481C1C}">
              <a14:useLocalDpi xmlns:a14="http://schemas.microsoft.com/office/drawing/2010/main" val="0"/>
            </a:ext>
          </a:extLst>
        </a:blip>
        <a:srcRect/>
        <a:stretch>
          <a:fillRect/>
        </a:stretch>
      </xdr:blipFill>
      <xdr:spPr bwMode="auto">
        <a:xfrm>
          <a:off x="6569" y="6568"/>
          <a:ext cx="2387000" cy="1371428"/>
        </a:xfrm>
        <a:prstGeom prst="rect">
          <a:avLst/>
        </a:prstGeom>
        <a:solidFill>
          <a:schemeClr val="accent3">
            <a:lumMod val="60000"/>
            <a:lumOff val="40000"/>
          </a:schemeClr>
        </a:solidFill>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belex.sites.be.ch/data/432.210/art49a1" TargetMode="External"/><Relationship Id="rId7" Type="http://schemas.openxmlformats.org/officeDocument/2006/relationships/drawing" Target="../drawings/drawing1.xml"/><Relationship Id="rId2" Type="http://schemas.openxmlformats.org/officeDocument/2006/relationships/hyperlink" Target="http://www.be.ch/accueil-vacances" TargetMode="External"/><Relationship Id="rId1" Type="http://schemas.openxmlformats.org/officeDocument/2006/relationships/hyperlink" Target="http://www.be.ch/ferienbetreuung" TargetMode="External"/><Relationship Id="rId6" Type="http://schemas.openxmlformats.org/officeDocument/2006/relationships/printerSettings" Target="../printerSettings/printerSettings1.bin"/><Relationship Id="rId5" Type="http://schemas.openxmlformats.org/officeDocument/2006/relationships/hyperlink" Target="https://www.belex.sites.be.ch/data/432.210/art49a1" TargetMode="External"/><Relationship Id="rId4" Type="http://schemas.openxmlformats.org/officeDocument/2006/relationships/hyperlink" Target="https://www.belex.sites.be.ch/data/432.210/art49a1" TargetMode="External"/><Relationship Id="rId9"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75"/>
  <sheetViews>
    <sheetView showGridLines="0" showRowColHeaders="0" tabSelected="1" zoomScaleNormal="100" zoomScalePageLayoutView="115" workbookViewId="0">
      <selection activeCell="C6" sqref="C6:K6"/>
    </sheetView>
  </sheetViews>
  <sheetFormatPr baseColWidth="10" defaultColWidth="10.85546875" defaultRowHeight="12.75"/>
  <cols>
    <col min="1" max="1" width="8.85546875" style="24" customWidth="1"/>
    <col min="2" max="2" width="5" style="24" customWidth="1"/>
    <col min="3" max="3" width="6.140625" style="23" customWidth="1"/>
    <col min="4" max="4" width="10" style="26" customWidth="1"/>
    <col min="5" max="5" width="6.7109375" style="21" customWidth="1"/>
    <col min="6" max="6" width="10" style="20" customWidth="1"/>
    <col min="7" max="7" width="18.28515625" style="20" customWidth="1"/>
    <col min="8" max="8" width="6.7109375" style="20" customWidth="1"/>
    <col min="9" max="9" width="10" style="20" customWidth="1"/>
    <col min="10" max="10" width="5.7109375" style="20" customWidth="1"/>
    <col min="11" max="11" width="6.7109375" style="20" customWidth="1"/>
    <col min="12" max="12" width="10" style="20" customWidth="1"/>
    <col min="13" max="13" width="5.7109375" style="20" customWidth="1"/>
    <col min="14" max="14" width="6.7109375" style="20" customWidth="1"/>
    <col min="15" max="15" width="10" style="20" customWidth="1"/>
    <col min="16" max="16" width="3.85546875" style="20" customWidth="1"/>
    <col min="17" max="17" width="6.7109375" style="20" customWidth="1"/>
    <col min="18" max="18" width="10" style="20" customWidth="1"/>
    <col min="19" max="19" width="15.140625" style="25" customWidth="1"/>
    <col min="20" max="20" width="3.140625" style="25" customWidth="1"/>
    <col min="21" max="21" width="11" style="25" customWidth="1"/>
    <col min="22" max="24" width="10.42578125" style="25" customWidth="1"/>
    <col min="25" max="30" width="10.85546875" style="25" hidden="1" customWidth="1"/>
    <col min="31" max="33" width="10.85546875" style="25" customWidth="1"/>
    <col min="34" max="16384" width="10.85546875" style="25"/>
  </cols>
  <sheetData>
    <row r="1" spans="1:37" ht="108" customHeight="1"/>
    <row r="2" spans="1:37" ht="13.5" customHeight="1">
      <c r="C2" s="365" t="s">
        <v>151</v>
      </c>
    </row>
    <row r="3" spans="1:37" ht="13.5" customHeight="1">
      <c r="C3" s="365" t="s">
        <v>152</v>
      </c>
    </row>
    <row r="4" spans="1:37" ht="75" customHeight="1">
      <c r="C4" s="365" t="s">
        <v>150</v>
      </c>
    </row>
    <row r="5" spans="1:37" ht="10.5" customHeight="1">
      <c r="A5" s="306"/>
      <c r="B5" s="306"/>
      <c r="C5" s="334"/>
      <c r="D5" s="332"/>
      <c r="E5" s="332"/>
      <c r="F5" s="306"/>
      <c r="G5" s="306"/>
      <c r="H5" s="306"/>
      <c r="I5" s="306"/>
      <c r="J5" s="306"/>
      <c r="K5" s="306"/>
      <c r="L5" s="306"/>
      <c r="M5" s="306"/>
      <c r="N5" s="306"/>
      <c r="O5" s="306"/>
      <c r="P5" s="306"/>
      <c r="Q5" s="306"/>
      <c r="R5" s="306"/>
      <c r="S5" s="304"/>
      <c r="T5" s="304"/>
      <c r="U5" s="304"/>
      <c r="V5" s="304"/>
      <c r="W5" s="304"/>
      <c r="X5" s="304"/>
      <c r="Y5" s="304"/>
      <c r="Z5" s="304"/>
      <c r="AA5" s="304"/>
      <c r="AB5" s="304"/>
      <c r="AC5" s="304"/>
      <c r="AD5" s="304"/>
      <c r="AE5" s="304"/>
      <c r="AF5" s="304"/>
      <c r="AG5" s="22"/>
      <c r="AH5" s="22"/>
      <c r="AI5" s="22"/>
      <c r="AJ5" s="22"/>
      <c r="AK5" s="22"/>
    </row>
    <row r="6" spans="1:37" ht="21.75" customHeight="1">
      <c r="A6" s="324"/>
      <c r="B6" s="324"/>
      <c r="C6" s="414" t="s">
        <v>148</v>
      </c>
      <c r="D6" s="414"/>
      <c r="E6" s="414"/>
      <c r="F6" s="414"/>
      <c r="G6" s="414"/>
      <c r="H6" s="414"/>
      <c r="I6" s="414"/>
      <c r="J6" s="414"/>
      <c r="K6" s="414"/>
      <c r="L6" s="408" t="s">
        <v>31</v>
      </c>
      <c r="M6" s="408"/>
      <c r="N6" s="408"/>
      <c r="O6" s="408"/>
      <c r="P6" s="335"/>
      <c r="Q6" s="306"/>
      <c r="R6" s="306"/>
      <c r="S6" s="304"/>
      <c r="T6" s="304"/>
      <c r="U6" s="304"/>
      <c r="V6" s="339"/>
      <c r="W6" s="339"/>
      <c r="X6" s="339"/>
      <c r="Y6" s="339"/>
      <c r="Z6" s="339"/>
      <c r="AA6" s="339"/>
      <c r="AB6" s="339"/>
      <c r="AC6" s="339"/>
      <c r="AD6" s="339"/>
      <c r="AE6" s="339"/>
      <c r="AF6" s="339"/>
      <c r="AG6" s="22"/>
      <c r="AH6" s="22"/>
      <c r="AI6" s="22"/>
      <c r="AJ6" s="22"/>
      <c r="AK6" s="22"/>
    </row>
    <row r="7" spans="1:37" ht="21.75" customHeight="1">
      <c r="A7" s="324"/>
      <c r="B7" s="324"/>
      <c r="C7" s="412" t="s">
        <v>28</v>
      </c>
      <c r="D7" s="412"/>
      <c r="E7" s="412"/>
      <c r="F7" s="412"/>
      <c r="G7" s="412"/>
      <c r="H7" s="412"/>
      <c r="I7" s="412"/>
      <c r="J7" s="412"/>
      <c r="K7" s="412"/>
      <c r="L7" s="306"/>
      <c r="M7" s="306"/>
      <c r="N7" s="338" t="s">
        <v>29</v>
      </c>
      <c r="O7" s="392" t="s">
        <v>30</v>
      </c>
      <c r="P7" s="336"/>
      <c r="Q7" s="306"/>
      <c r="R7" s="306"/>
      <c r="S7" s="304"/>
      <c r="T7" s="304"/>
      <c r="U7" s="304"/>
      <c r="V7" s="339"/>
      <c r="W7" s="339"/>
      <c r="X7" s="339"/>
      <c r="Y7" s="339"/>
      <c r="Z7" s="339"/>
      <c r="AA7" s="339"/>
      <c r="AB7" s="339"/>
      <c r="AC7" s="339"/>
      <c r="AD7" s="339"/>
      <c r="AE7" s="339"/>
      <c r="AF7" s="339"/>
      <c r="AG7" s="22"/>
      <c r="AH7" s="22"/>
      <c r="AI7" s="22"/>
      <c r="AJ7" s="22"/>
      <c r="AK7" s="22"/>
    </row>
    <row r="8" spans="1:37" s="22" customFormat="1" ht="15" customHeight="1">
      <c r="A8" s="325"/>
      <c r="B8" s="325"/>
      <c r="C8" s="328"/>
      <c r="D8" s="329"/>
      <c r="E8" s="329"/>
      <c r="F8" s="330"/>
      <c r="G8" s="330"/>
      <c r="H8" s="330"/>
      <c r="I8" s="329"/>
      <c r="J8" s="330"/>
      <c r="K8" s="330"/>
      <c r="L8" s="328"/>
      <c r="M8" s="328"/>
      <c r="N8" s="328"/>
      <c r="O8" s="328"/>
      <c r="P8" s="304"/>
      <c r="Q8" s="304"/>
      <c r="R8" s="304"/>
      <c r="S8" s="304"/>
      <c r="T8" s="304"/>
      <c r="U8" s="304"/>
      <c r="V8" s="304"/>
      <c r="W8" s="304"/>
      <c r="X8" s="304"/>
      <c r="Y8" s="304"/>
      <c r="Z8" s="304"/>
      <c r="AA8" s="304"/>
      <c r="AB8" s="304"/>
      <c r="AC8" s="304"/>
      <c r="AD8" s="304"/>
      <c r="AE8" s="304"/>
      <c r="AF8" s="304"/>
    </row>
    <row r="9" spans="1:37" s="22" customFormat="1" ht="15" customHeight="1">
      <c r="A9" s="325"/>
      <c r="B9" s="325"/>
      <c r="C9" s="304"/>
      <c r="D9" s="331"/>
      <c r="E9" s="331"/>
      <c r="F9" s="302"/>
      <c r="G9" s="302"/>
      <c r="H9" s="302"/>
      <c r="I9" s="331"/>
      <c r="J9" s="302"/>
      <c r="K9" s="302"/>
      <c r="L9" s="304"/>
      <c r="M9" s="304"/>
      <c r="N9" s="304"/>
      <c r="O9" s="304"/>
      <c r="P9" s="304"/>
      <c r="Q9" s="304"/>
      <c r="R9" s="304"/>
      <c r="S9" s="304"/>
      <c r="T9" s="304"/>
      <c r="U9" s="304"/>
      <c r="V9" s="304"/>
      <c r="W9" s="304"/>
      <c r="X9" s="304"/>
      <c r="Y9" s="304"/>
      <c r="Z9" s="304"/>
      <c r="AA9" s="304"/>
      <c r="AB9" s="304"/>
      <c r="AC9" s="304"/>
      <c r="AD9" s="304"/>
      <c r="AE9" s="304"/>
      <c r="AF9" s="304"/>
    </row>
    <row r="10" spans="1:37" ht="27" customHeight="1">
      <c r="A10" s="324"/>
      <c r="B10" s="324"/>
      <c r="C10" s="325" t="s">
        <v>24</v>
      </c>
      <c r="D10" s="332"/>
      <c r="E10" s="332"/>
      <c r="F10" s="306"/>
      <c r="G10" s="306"/>
      <c r="H10" s="306"/>
      <c r="I10" s="306"/>
      <c r="J10" s="306"/>
      <c r="K10" s="333"/>
      <c r="L10" s="306"/>
      <c r="M10" s="413">
        <f ca="1">TODAY()</f>
        <v>42923</v>
      </c>
      <c r="N10" s="413"/>
      <c r="O10" s="413"/>
      <c r="P10" s="337"/>
      <c r="Q10" s="306"/>
      <c r="R10" s="306"/>
      <c r="S10" s="304"/>
      <c r="T10" s="304"/>
      <c r="U10" s="304"/>
      <c r="V10" s="339"/>
      <c r="W10" s="339"/>
      <c r="X10" s="339"/>
      <c r="Y10" s="339"/>
      <c r="Z10" s="339"/>
      <c r="AA10" s="339"/>
      <c r="AB10" s="339"/>
      <c r="AC10" s="339"/>
      <c r="AD10" s="339"/>
      <c r="AE10" s="339"/>
      <c r="AF10" s="339"/>
      <c r="AG10" s="22"/>
      <c r="AH10" s="22"/>
      <c r="AI10" s="22"/>
      <c r="AJ10" s="22"/>
      <c r="AK10" s="22"/>
    </row>
    <row r="11" spans="1:37" s="22" customFormat="1" ht="21" customHeight="1">
      <c r="A11" s="325"/>
      <c r="B11" s="325"/>
      <c r="C11" s="304"/>
      <c r="D11" s="331"/>
      <c r="E11" s="331"/>
      <c r="F11" s="302"/>
      <c r="G11" s="302"/>
      <c r="H11" s="302"/>
      <c r="I11" s="331"/>
      <c r="J11" s="302"/>
      <c r="K11" s="302"/>
      <c r="L11" s="304"/>
      <c r="M11" s="304"/>
      <c r="N11" s="304"/>
      <c r="O11" s="304"/>
      <c r="P11" s="304"/>
      <c r="Q11" s="304"/>
      <c r="R11" s="304"/>
      <c r="S11" s="304"/>
      <c r="T11" s="304"/>
      <c r="U11" s="304"/>
      <c r="V11" s="304"/>
      <c r="W11" s="304"/>
      <c r="X11" s="304"/>
      <c r="Y11" s="304"/>
      <c r="Z11" s="304"/>
      <c r="AA11" s="304"/>
      <c r="AB11" s="304"/>
      <c r="AC11" s="304"/>
      <c r="AD11" s="304"/>
      <c r="AE11" s="304"/>
      <c r="AF11" s="304"/>
    </row>
    <row r="12" spans="1:37" ht="13.5" customHeight="1">
      <c r="A12" s="325"/>
      <c r="B12" s="325"/>
      <c r="C12" s="55"/>
      <c r="D12" s="52"/>
      <c r="E12" s="52"/>
      <c r="F12" s="56"/>
      <c r="G12" s="56"/>
      <c r="H12" s="56"/>
      <c r="I12" s="52"/>
      <c r="J12" s="57"/>
      <c r="K12" s="57"/>
      <c r="L12" s="57"/>
      <c r="M12" s="57"/>
      <c r="N12" s="58"/>
      <c r="O12" s="59"/>
      <c r="P12" s="60"/>
      <c r="Q12" s="60"/>
      <c r="R12" s="60"/>
      <c r="S12" s="60"/>
      <c r="T12" s="304"/>
      <c r="U12" s="304"/>
      <c r="V12" s="304"/>
      <c r="W12" s="304"/>
      <c r="X12" s="304"/>
      <c r="Y12" s="304"/>
      <c r="Z12" s="304"/>
      <c r="AA12" s="304"/>
      <c r="AB12" s="304"/>
      <c r="AC12" s="304"/>
      <c r="AD12" s="304"/>
      <c r="AE12" s="304"/>
      <c r="AF12" s="304"/>
      <c r="AG12" s="22"/>
      <c r="AH12" s="22"/>
      <c r="AI12" s="22"/>
      <c r="AJ12" s="22"/>
      <c r="AK12" s="22"/>
    </row>
    <row r="13" spans="1:37" s="20" customFormat="1" ht="21.75" customHeight="1">
      <c r="A13" s="325"/>
      <c r="B13" s="325"/>
      <c r="C13" s="54"/>
      <c r="D13" s="61" t="s">
        <v>34</v>
      </c>
      <c r="E13" s="62"/>
      <c r="F13" s="54"/>
      <c r="G13" s="54"/>
      <c r="H13" s="54"/>
      <c r="I13" s="62"/>
      <c r="J13" s="63"/>
      <c r="K13" s="64" t="s">
        <v>41</v>
      </c>
      <c r="L13" s="64"/>
      <c r="M13" s="64"/>
      <c r="N13" s="63"/>
      <c r="O13" s="65"/>
      <c r="P13" s="66"/>
      <c r="Q13" s="66"/>
      <c r="R13" s="66"/>
      <c r="S13" s="66"/>
      <c r="T13" s="125"/>
      <c r="U13" s="306"/>
      <c r="V13" s="306"/>
      <c r="W13" s="306"/>
      <c r="X13" s="306"/>
      <c r="Y13" s="306"/>
      <c r="Z13" s="306"/>
      <c r="AA13" s="340"/>
      <c r="AB13" s="340"/>
      <c r="AC13" s="306"/>
      <c r="AD13" s="306"/>
      <c r="AE13" s="306"/>
      <c r="AF13" s="306"/>
    </row>
    <row r="14" spans="1:37" ht="18" customHeight="1">
      <c r="A14" s="302"/>
      <c r="B14" s="302"/>
      <c r="C14" s="67"/>
      <c r="D14" s="388">
        <v>5</v>
      </c>
      <c r="E14" s="415" t="s">
        <v>32</v>
      </c>
      <c r="F14" s="415"/>
      <c r="G14" s="415"/>
      <c r="H14" s="415"/>
      <c r="I14" s="415"/>
      <c r="J14" s="63"/>
      <c r="K14" s="410" t="s">
        <v>81</v>
      </c>
      <c r="L14" s="410"/>
      <c r="M14" s="410"/>
      <c r="N14" s="410"/>
      <c r="O14" s="388">
        <v>8</v>
      </c>
      <c r="P14" s="71"/>
      <c r="Q14" s="411" t="s">
        <v>80</v>
      </c>
      <c r="R14" s="411"/>
      <c r="S14" s="411"/>
      <c r="T14" s="124"/>
      <c r="U14" s="304"/>
      <c r="V14" s="304"/>
      <c r="W14" s="304"/>
      <c r="X14" s="304"/>
      <c r="Y14" s="304"/>
      <c r="Z14" s="304"/>
      <c r="AA14" s="310"/>
      <c r="AB14" s="310"/>
      <c r="AC14" s="304"/>
      <c r="AD14" s="304"/>
      <c r="AE14" s="304"/>
      <c r="AF14" s="304"/>
      <c r="AG14" s="22"/>
      <c r="AH14" s="22"/>
      <c r="AI14" s="22"/>
      <c r="AJ14" s="22"/>
      <c r="AK14" s="22"/>
    </row>
    <row r="15" spans="1:37" ht="18" customHeight="1">
      <c r="A15" s="317"/>
      <c r="B15" s="317"/>
      <c r="C15" s="67"/>
      <c r="D15" s="119"/>
      <c r="E15" s="415"/>
      <c r="F15" s="415"/>
      <c r="G15" s="415"/>
      <c r="H15" s="415"/>
      <c r="I15" s="415"/>
      <c r="J15" s="63"/>
      <c r="K15" s="410"/>
      <c r="L15" s="410"/>
      <c r="M15" s="410"/>
      <c r="N15" s="410"/>
      <c r="O15" s="74"/>
      <c r="P15" s="252"/>
      <c r="Q15" s="411"/>
      <c r="R15" s="411"/>
      <c r="S15" s="411"/>
      <c r="T15" s="124"/>
      <c r="U15" s="304"/>
      <c r="V15" s="304"/>
      <c r="W15" s="304"/>
      <c r="X15" s="304"/>
      <c r="Y15" s="304"/>
      <c r="Z15" s="304"/>
      <c r="AA15" s="341"/>
      <c r="AB15" s="341"/>
      <c r="AC15" s="304"/>
      <c r="AD15" s="304"/>
      <c r="AE15" s="304"/>
      <c r="AF15" s="304"/>
      <c r="AG15" s="22"/>
      <c r="AH15" s="22"/>
      <c r="AI15" s="22"/>
      <c r="AJ15" s="22"/>
      <c r="AK15" s="22"/>
    </row>
    <row r="16" spans="1:37" ht="18" customHeight="1">
      <c r="A16" s="302"/>
      <c r="B16" s="302"/>
      <c r="C16" s="67"/>
      <c r="D16" s="388">
        <v>10</v>
      </c>
      <c r="E16" s="68" t="s">
        <v>33</v>
      </c>
      <c r="F16" s="56"/>
      <c r="G16" s="69"/>
      <c r="H16" s="69"/>
      <c r="I16" s="68"/>
      <c r="J16" s="63"/>
      <c r="K16" s="130" t="s">
        <v>42</v>
      </c>
      <c r="L16" s="75"/>
      <c r="M16" s="75"/>
      <c r="N16" s="75"/>
      <c r="O16" s="391">
        <v>0.5</v>
      </c>
      <c r="P16" s="411"/>
      <c r="Q16" s="411" t="s">
        <v>43</v>
      </c>
      <c r="R16" s="411"/>
      <c r="S16" s="411"/>
      <c r="T16" s="124"/>
      <c r="U16" s="304"/>
      <c r="V16" s="304"/>
      <c r="W16" s="304"/>
      <c r="X16" s="304"/>
      <c r="Y16" s="304"/>
      <c r="Z16" s="304"/>
      <c r="AA16" s="341"/>
      <c r="AB16" s="341"/>
      <c r="AC16" s="304"/>
      <c r="AD16" s="304"/>
      <c r="AE16" s="304"/>
      <c r="AF16" s="304"/>
      <c r="AG16" s="22"/>
      <c r="AH16" s="22"/>
      <c r="AI16" s="22"/>
      <c r="AJ16" s="22"/>
      <c r="AK16" s="22"/>
    </row>
    <row r="17" spans="1:37" ht="18" customHeight="1">
      <c r="A17" s="317"/>
      <c r="B17" s="317"/>
      <c r="C17" s="67"/>
      <c r="D17" s="119"/>
      <c r="E17" s="417" t="str">
        <f>IF(OR(D16&gt;12,D16&lt;9),Y17,"")</f>
        <v/>
      </c>
      <c r="F17" s="417"/>
      <c r="G17" s="417"/>
      <c r="H17" s="417"/>
      <c r="I17" s="417"/>
      <c r="J17" s="63"/>
      <c r="K17" s="70"/>
      <c r="L17" s="70"/>
      <c r="M17" s="70"/>
      <c r="N17" s="73"/>
      <c r="O17" s="76"/>
      <c r="P17" s="411"/>
      <c r="Q17" s="411"/>
      <c r="R17" s="411"/>
      <c r="S17" s="411"/>
      <c r="T17" s="124"/>
      <c r="U17" s="304"/>
      <c r="V17" s="304"/>
      <c r="W17" s="304"/>
      <c r="X17" s="304"/>
      <c r="Y17" s="304" t="s">
        <v>146</v>
      </c>
      <c r="Z17" s="304"/>
      <c r="AA17" s="341"/>
      <c r="AB17" s="341"/>
      <c r="AC17" s="304"/>
      <c r="AD17" s="304"/>
      <c r="AE17" s="304"/>
      <c r="AF17" s="304"/>
      <c r="AG17" s="22"/>
      <c r="AH17" s="22"/>
      <c r="AI17" s="22"/>
      <c r="AJ17" s="22"/>
      <c r="AK17" s="22"/>
    </row>
    <row r="18" spans="1:37" ht="24" customHeight="1">
      <c r="A18" s="317"/>
      <c r="B18" s="317"/>
      <c r="C18" s="67"/>
      <c r="D18" s="119"/>
      <c r="E18" s="417"/>
      <c r="F18" s="417"/>
      <c r="G18" s="417"/>
      <c r="H18" s="417"/>
      <c r="I18" s="417"/>
      <c r="J18" s="70"/>
      <c r="K18" s="70"/>
      <c r="L18" s="70"/>
      <c r="M18" s="70"/>
      <c r="N18" s="73"/>
      <c r="O18" s="76"/>
      <c r="P18" s="411"/>
      <c r="Q18" s="411"/>
      <c r="R18" s="411"/>
      <c r="S18" s="411"/>
      <c r="T18" s="124"/>
      <c r="U18" s="304"/>
      <c r="V18" s="304"/>
      <c r="W18" s="304"/>
      <c r="X18" s="304"/>
      <c r="Y18" s="304"/>
      <c r="Z18" s="304"/>
      <c r="AA18" s="341"/>
      <c r="AB18" s="341"/>
      <c r="AC18" s="304"/>
      <c r="AD18" s="304"/>
      <c r="AE18" s="304"/>
      <c r="AF18" s="304"/>
      <c r="AG18" s="22"/>
      <c r="AH18" s="22"/>
      <c r="AI18" s="22"/>
      <c r="AJ18" s="22"/>
      <c r="AK18" s="22"/>
    </row>
    <row r="19" spans="1:37" ht="13.5" customHeight="1">
      <c r="A19" s="317"/>
      <c r="B19" s="317"/>
      <c r="C19" s="77"/>
      <c r="D19" s="78"/>
      <c r="E19" s="78"/>
      <c r="F19" s="79"/>
      <c r="G19" s="80"/>
      <c r="H19" s="80"/>
      <c r="I19" s="80"/>
      <c r="J19" s="81"/>
      <c r="K19" s="81"/>
      <c r="L19" s="81"/>
      <c r="M19" s="81"/>
      <c r="N19" s="82"/>
      <c r="O19" s="83"/>
      <c r="P19" s="84"/>
      <c r="Q19" s="84"/>
      <c r="R19" s="84"/>
      <c r="S19" s="84"/>
      <c r="T19" s="124"/>
      <c r="U19" s="304"/>
      <c r="V19" s="304"/>
      <c r="W19" s="304"/>
      <c r="X19" s="304"/>
      <c r="Y19" s="304"/>
      <c r="Z19" s="341"/>
      <c r="AA19" s="341"/>
      <c r="AB19" s="341"/>
      <c r="AC19" s="304"/>
      <c r="AD19" s="304"/>
      <c r="AE19" s="304"/>
      <c r="AF19" s="304"/>
      <c r="AG19" s="22"/>
      <c r="AH19" s="22"/>
      <c r="AI19" s="22"/>
      <c r="AJ19" s="22"/>
      <c r="AK19" s="22"/>
    </row>
    <row r="20" spans="1:37" ht="22.5" customHeight="1">
      <c r="A20" s="317"/>
      <c r="B20" s="317"/>
      <c r="C20" s="77"/>
      <c r="D20" s="85" t="s">
        <v>35</v>
      </c>
      <c r="E20" s="86"/>
      <c r="F20" s="79"/>
      <c r="G20" s="80"/>
      <c r="H20" s="80"/>
      <c r="I20" s="80"/>
      <c r="J20" s="81"/>
      <c r="K20" s="81"/>
      <c r="L20" s="81"/>
      <c r="M20" s="81"/>
      <c r="N20" s="82"/>
      <c r="O20" s="82"/>
      <c r="P20" s="84"/>
      <c r="Q20" s="132" t="s">
        <v>44</v>
      </c>
      <c r="R20" s="84"/>
      <c r="S20" s="84"/>
      <c r="T20" s="124"/>
      <c r="U20" s="304"/>
      <c r="V20" s="304"/>
      <c r="W20" s="304"/>
      <c r="X20" s="304"/>
      <c r="Y20" s="304"/>
      <c r="Z20" s="341"/>
      <c r="AA20" s="341"/>
      <c r="AB20" s="341"/>
      <c r="AC20" s="304"/>
      <c r="AD20" s="304"/>
      <c r="AE20" s="304"/>
      <c r="AF20" s="304"/>
      <c r="AG20" s="22"/>
      <c r="AH20" s="22"/>
      <c r="AI20" s="22"/>
      <c r="AJ20" s="22"/>
      <c r="AK20" s="22"/>
    </row>
    <row r="21" spans="1:37" ht="18" customHeight="1">
      <c r="A21" s="302"/>
      <c r="B21" s="302"/>
      <c r="C21" s="87"/>
      <c r="D21" s="388">
        <v>24</v>
      </c>
      <c r="E21" s="88" t="s">
        <v>36</v>
      </c>
      <c r="F21" s="89"/>
      <c r="G21" s="89"/>
      <c r="H21" s="89"/>
      <c r="I21" s="89"/>
      <c r="J21" s="83"/>
      <c r="K21" s="83"/>
      <c r="L21" s="83"/>
      <c r="M21" s="83"/>
      <c r="N21" s="83"/>
      <c r="O21" s="30">
        <f>MAX(ROUNDUP((kinder_/schlüssel)*ausbildung,0),1)</f>
        <v>2</v>
      </c>
      <c r="P21" s="90"/>
      <c r="Q21" s="291" t="s">
        <v>45</v>
      </c>
      <c r="R21" s="90"/>
      <c r="S21" s="90"/>
      <c r="T21" s="126"/>
      <c r="U21" s="342"/>
      <c r="V21" s="342"/>
      <c r="W21" s="342"/>
      <c r="X21" s="342"/>
      <c r="Y21" s="341"/>
      <c r="Z21" s="341"/>
      <c r="AA21" s="341"/>
      <c r="AB21" s="341"/>
      <c r="AC21" s="304"/>
      <c r="AD21" s="304"/>
      <c r="AE21" s="304"/>
      <c r="AF21" s="304"/>
      <c r="AG21" s="22"/>
      <c r="AH21" s="22"/>
      <c r="AI21" s="22"/>
      <c r="AJ21" s="22"/>
      <c r="AK21" s="22"/>
    </row>
    <row r="22" spans="1:37" s="24" customFormat="1" ht="18" customHeight="1">
      <c r="A22" s="302"/>
      <c r="B22" s="302"/>
      <c r="C22" s="89"/>
      <c r="D22" s="89"/>
      <c r="E22" s="89"/>
      <c r="F22" s="89"/>
      <c r="G22" s="89"/>
      <c r="H22" s="89"/>
      <c r="I22" s="89"/>
      <c r="J22" s="83"/>
      <c r="K22" s="83"/>
      <c r="L22" s="83"/>
      <c r="M22" s="83"/>
      <c r="N22" s="83"/>
      <c r="O22" s="30">
        <f>ROUNDUP(kinder_/schlüssel,0)-O21</f>
        <v>1</v>
      </c>
      <c r="P22" s="90"/>
      <c r="Q22" s="90" t="s">
        <v>46</v>
      </c>
      <c r="R22" s="90"/>
      <c r="S22" s="90"/>
      <c r="T22" s="125"/>
      <c r="U22" s="306"/>
      <c r="V22" s="310"/>
      <c r="W22" s="310"/>
      <c r="X22" s="310"/>
      <c r="Y22" s="306"/>
      <c r="Z22" s="306"/>
      <c r="AA22" s="306"/>
      <c r="AB22" s="306"/>
      <c r="AC22" s="306"/>
      <c r="AD22" s="306"/>
      <c r="AE22" s="306"/>
      <c r="AF22" s="306"/>
      <c r="AG22" s="20"/>
      <c r="AH22" s="20"/>
      <c r="AI22" s="20"/>
      <c r="AJ22" s="20"/>
      <c r="AK22" s="20"/>
    </row>
    <row r="23" spans="1:37" s="24" customFormat="1" ht="18" customHeight="1">
      <c r="A23" s="302"/>
      <c r="B23" s="302"/>
      <c r="C23" s="89"/>
      <c r="D23" s="89"/>
      <c r="E23" s="89"/>
      <c r="F23" s="89"/>
      <c r="G23" s="89"/>
      <c r="H23" s="89"/>
      <c r="I23" s="89"/>
      <c r="J23" s="83"/>
      <c r="K23" s="83"/>
      <c r="L23" s="83"/>
      <c r="M23" s="83"/>
      <c r="N23" s="83"/>
      <c r="O23" s="91"/>
      <c r="P23" s="83"/>
      <c r="Q23" s="83"/>
      <c r="R23" s="83"/>
      <c r="S23" s="83"/>
      <c r="T23" s="125"/>
      <c r="U23" s="306"/>
      <c r="V23" s="310"/>
      <c r="W23" s="310"/>
      <c r="X23" s="310"/>
      <c r="Y23" s="306"/>
      <c r="Z23" s="306"/>
      <c r="AA23" s="306"/>
      <c r="AB23" s="306"/>
      <c r="AC23" s="306"/>
      <c r="AD23" s="306"/>
      <c r="AE23" s="306"/>
      <c r="AF23" s="306"/>
      <c r="AG23" s="20"/>
      <c r="AH23" s="20"/>
      <c r="AI23" s="20"/>
      <c r="AJ23" s="20"/>
      <c r="AK23" s="20"/>
    </row>
    <row r="24" spans="1:37" s="24" customFormat="1" ht="18" customHeight="1">
      <c r="A24" s="302"/>
      <c r="B24" s="302"/>
      <c r="C24" s="89"/>
      <c r="D24" s="92" t="s">
        <v>37</v>
      </c>
      <c r="E24" s="89"/>
      <c r="F24" s="89"/>
      <c r="G24" s="89"/>
      <c r="H24" s="89"/>
      <c r="I24" s="89"/>
      <c r="J24" s="83"/>
      <c r="K24" s="423" t="s">
        <v>86</v>
      </c>
      <c r="L24" s="423"/>
      <c r="M24" s="253"/>
      <c r="N24" s="93" t="s">
        <v>22</v>
      </c>
      <c r="O24" s="390">
        <v>46</v>
      </c>
      <c r="P24" s="90"/>
      <c r="Q24" s="291" t="s">
        <v>45</v>
      </c>
      <c r="R24" s="90"/>
      <c r="S24" s="90"/>
      <c r="T24" s="125"/>
      <c r="U24" s="306"/>
      <c r="V24" s="310"/>
      <c r="W24" s="310"/>
      <c r="X24" s="310"/>
      <c r="Y24" s="306"/>
      <c r="Z24" s="306"/>
      <c r="AA24" s="306"/>
      <c r="AB24" s="306"/>
      <c r="AC24" s="306"/>
      <c r="AD24" s="306"/>
      <c r="AE24" s="306"/>
      <c r="AF24" s="306"/>
      <c r="AG24" s="20"/>
      <c r="AH24" s="20"/>
      <c r="AI24" s="20"/>
      <c r="AJ24" s="20"/>
      <c r="AK24" s="20"/>
    </row>
    <row r="25" spans="1:37" s="24" customFormat="1" ht="18" customHeight="1">
      <c r="A25" s="302"/>
      <c r="B25" s="302"/>
      <c r="C25" s="89"/>
      <c r="D25" s="133">
        <f>((F25/schlüssel)-1)*schlüssel+1</f>
        <v>17</v>
      </c>
      <c r="E25" s="94" t="s">
        <v>23</v>
      </c>
      <c r="F25" s="422">
        <f>ROUNDUP(kinder_/schlüssel,0)*schlüssel</f>
        <v>24</v>
      </c>
      <c r="G25" s="422"/>
      <c r="H25" s="89"/>
      <c r="I25" s="89"/>
      <c r="J25" s="83"/>
      <c r="K25" s="423"/>
      <c r="L25" s="423"/>
      <c r="M25" s="95"/>
      <c r="N25" s="93" t="s">
        <v>22</v>
      </c>
      <c r="O25" s="390">
        <v>35</v>
      </c>
      <c r="P25" s="90"/>
      <c r="Q25" s="90" t="s">
        <v>46</v>
      </c>
      <c r="R25" s="90"/>
      <c r="S25" s="90"/>
      <c r="T25" s="125"/>
      <c r="U25" s="306"/>
      <c r="V25" s="306"/>
      <c r="W25" s="306"/>
      <c r="X25" s="306"/>
      <c r="Y25" s="306"/>
      <c r="Z25" s="306"/>
      <c r="AA25" s="306"/>
      <c r="AB25" s="306"/>
      <c r="AC25" s="306"/>
      <c r="AD25" s="306"/>
      <c r="AE25" s="306"/>
      <c r="AF25" s="306"/>
      <c r="AG25" s="20"/>
      <c r="AH25" s="20"/>
      <c r="AI25" s="20"/>
      <c r="AJ25" s="20"/>
      <c r="AK25" s="20"/>
    </row>
    <row r="26" spans="1:37" ht="13.5" customHeight="1">
      <c r="A26" s="302"/>
      <c r="B26" s="302"/>
      <c r="C26" s="87"/>
      <c r="D26" s="78"/>
      <c r="E26" s="78"/>
      <c r="F26" s="89"/>
      <c r="G26" s="89"/>
      <c r="H26" s="89"/>
      <c r="I26" s="89"/>
      <c r="J26" s="83"/>
      <c r="K26" s="83"/>
      <c r="L26" s="83"/>
      <c r="M26" s="83"/>
      <c r="N26" s="83"/>
      <c r="O26" s="83"/>
      <c r="P26" s="84"/>
      <c r="Q26" s="84"/>
      <c r="R26" s="84"/>
      <c r="S26" s="84"/>
      <c r="T26" s="124"/>
      <c r="U26" s="304"/>
      <c r="V26" s="304"/>
      <c r="W26" s="304"/>
      <c r="X26" s="304"/>
      <c r="Y26" s="304"/>
      <c r="Z26" s="304"/>
      <c r="AA26" s="304"/>
      <c r="AB26" s="304"/>
      <c r="AC26" s="304"/>
      <c r="AD26" s="304"/>
      <c r="AE26" s="304"/>
      <c r="AF26" s="304"/>
      <c r="AG26" s="22"/>
      <c r="AH26" s="22"/>
      <c r="AI26" s="22"/>
      <c r="AJ26" s="22"/>
      <c r="AK26" s="22"/>
    </row>
    <row r="27" spans="1:37" ht="13.5" customHeight="1">
      <c r="A27" s="302"/>
      <c r="B27" s="302"/>
      <c r="C27" s="96"/>
      <c r="D27" s="97"/>
      <c r="E27" s="51"/>
      <c r="F27" s="98"/>
      <c r="G27" s="98"/>
      <c r="H27" s="98"/>
      <c r="I27" s="98"/>
      <c r="J27" s="99"/>
      <c r="K27" s="99"/>
      <c r="L27" s="99"/>
      <c r="M27" s="99"/>
      <c r="N27" s="99"/>
      <c r="O27" s="99"/>
      <c r="P27" s="100"/>
      <c r="Q27" s="100"/>
      <c r="R27" s="100"/>
      <c r="S27" s="100"/>
      <c r="T27" s="124"/>
      <c r="U27" s="427" t="s">
        <v>161</v>
      </c>
      <c r="V27" s="428"/>
      <c r="W27" s="428"/>
      <c r="X27" s="428"/>
      <c r="Y27" s="304"/>
      <c r="Z27" s="304"/>
      <c r="AA27" s="304"/>
      <c r="AB27" s="304"/>
      <c r="AC27" s="304"/>
      <c r="AD27" s="304"/>
      <c r="AE27" s="304"/>
      <c r="AF27" s="304"/>
      <c r="AG27" s="22"/>
      <c r="AH27" s="22"/>
      <c r="AI27" s="22"/>
      <c r="AJ27" s="22"/>
      <c r="AK27" s="22"/>
    </row>
    <row r="28" spans="1:37" ht="21.75" customHeight="1">
      <c r="A28" s="302"/>
      <c r="B28" s="302"/>
      <c r="C28" s="96"/>
      <c r="D28" s="101" t="s">
        <v>38</v>
      </c>
      <c r="E28" s="51"/>
      <c r="F28" s="98"/>
      <c r="G28" s="98"/>
      <c r="H28" s="98"/>
      <c r="I28" s="98"/>
      <c r="J28" s="99"/>
      <c r="K28" s="102" t="s">
        <v>47</v>
      </c>
      <c r="L28" s="102"/>
      <c r="M28" s="102"/>
      <c r="N28" s="99"/>
      <c r="O28" s="99"/>
      <c r="P28" s="103"/>
      <c r="Q28" s="103"/>
      <c r="R28" s="103"/>
      <c r="S28" s="103"/>
      <c r="T28" s="124"/>
      <c r="U28" s="428"/>
      <c r="V28" s="428"/>
      <c r="W28" s="428"/>
      <c r="X28" s="428"/>
      <c r="Y28" s="304"/>
      <c r="Z28" s="304"/>
      <c r="AA28" s="304"/>
      <c r="AB28" s="304"/>
      <c r="AC28" s="304"/>
      <c r="AD28" s="304"/>
      <c r="AE28" s="304"/>
      <c r="AF28" s="304"/>
      <c r="AG28" s="22"/>
      <c r="AH28" s="22"/>
      <c r="AI28" s="22"/>
      <c r="AJ28" s="22"/>
      <c r="AK28" s="22"/>
    </row>
    <row r="29" spans="1:37" ht="18" customHeight="1">
      <c r="A29" s="302"/>
      <c r="B29" s="302"/>
      <c r="C29" s="96"/>
      <c r="D29" s="97"/>
      <c r="E29" s="104" t="s">
        <v>22</v>
      </c>
      <c r="F29" s="389">
        <v>25</v>
      </c>
      <c r="G29" s="421" t="s">
        <v>40</v>
      </c>
      <c r="H29" s="421"/>
      <c r="I29" s="421"/>
      <c r="J29" s="99"/>
      <c r="K29" s="105" t="s">
        <v>48</v>
      </c>
      <c r="L29" s="105"/>
      <c r="M29" s="105"/>
      <c r="N29" s="106" t="s">
        <v>22</v>
      </c>
      <c r="O29" s="390">
        <v>80</v>
      </c>
      <c r="P29" s="107"/>
      <c r="Q29" s="406" t="s">
        <v>54</v>
      </c>
      <c r="R29" s="406"/>
      <c r="S29" s="406"/>
      <c r="T29" s="124"/>
      <c r="U29" s="428"/>
      <c r="V29" s="428"/>
      <c r="W29" s="428"/>
      <c r="X29" s="428"/>
      <c r="Y29" s="304" t="s">
        <v>53</v>
      </c>
      <c r="Z29" s="304"/>
      <c r="AA29" s="304" t="s">
        <v>52</v>
      </c>
      <c r="AB29" s="304"/>
      <c r="AC29" s="304"/>
      <c r="AD29" s="304" t="s">
        <v>59</v>
      </c>
      <c r="AE29" s="304"/>
      <c r="AF29" s="304"/>
      <c r="AG29" s="22"/>
      <c r="AH29" s="22"/>
      <c r="AI29" s="22"/>
      <c r="AJ29" s="22"/>
      <c r="AK29" s="22"/>
    </row>
    <row r="30" spans="1:37" ht="18" customHeight="1">
      <c r="A30" s="302"/>
      <c r="B30" s="302"/>
      <c r="C30" s="96"/>
      <c r="D30" s="97"/>
      <c r="E30" s="97"/>
      <c r="F30" s="98"/>
      <c r="G30" s="421"/>
      <c r="H30" s="421"/>
      <c r="I30" s="421"/>
      <c r="J30" s="99"/>
      <c r="K30" s="105" t="s">
        <v>49</v>
      </c>
      <c r="L30" s="105"/>
      <c r="M30" s="105"/>
      <c r="N30" s="106" t="s">
        <v>22</v>
      </c>
      <c r="O30" s="390">
        <v>6</v>
      </c>
      <c r="P30" s="107"/>
      <c r="Q30" s="406" t="s">
        <v>53</v>
      </c>
      <c r="R30" s="406"/>
      <c r="S30" s="406"/>
      <c r="T30" s="124"/>
      <c r="U30" s="428"/>
      <c r="V30" s="428"/>
      <c r="W30" s="428"/>
      <c r="X30" s="428"/>
      <c r="Y30" s="304" t="s">
        <v>54</v>
      </c>
      <c r="Z30" s="304"/>
      <c r="AA30" s="304" t="s">
        <v>54</v>
      </c>
      <c r="AB30" s="304"/>
      <c r="AC30" s="304" t="s">
        <v>57</v>
      </c>
      <c r="AD30" s="304" t="s">
        <v>53</v>
      </c>
      <c r="AE30" s="304"/>
      <c r="AF30" s="304"/>
      <c r="AG30" s="22"/>
      <c r="AH30" s="22"/>
      <c r="AI30" s="22"/>
      <c r="AJ30" s="22"/>
      <c r="AK30" s="22"/>
    </row>
    <row r="31" spans="1:37" ht="18" customHeight="1">
      <c r="A31" s="302"/>
      <c r="B31" s="302"/>
      <c r="C31" s="96"/>
      <c r="D31" s="292" t="str">
        <f>IF(F29&lt;=0,AD29,"")</f>
        <v/>
      </c>
      <c r="E31" s="145"/>
      <c r="F31" s="145"/>
      <c r="G31" s="145"/>
      <c r="H31" s="145"/>
      <c r="I31" s="98"/>
      <c r="J31" s="99"/>
      <c r="K31" s="105" t="s">
        <v>50</v>
      </c>
      <c r="L31" s="105"/>
      <c r="M31" s="105"/>
      <c r="N31" s="106" t="s">
        <v>22</v>
      </c>
      <c r="O31" s="390">
        <v>5</v>
      </c>
      <c r="P31" s="107"/>
      <c r="Q31" s="406" t="s">
        <v>52</v>
      </c>
      <c r="R31" s="406"/>
      <c r="S31" s="406"/>
      <c r="T31" s="124"/>
      <c r="U31" s="428"/>
      <c r="V31" s="428"/>
      <c r="W31" s="428"/>
      <c r="X31" s="428"/>
      <c r="Y31" s="304" t="s">
        <v>55</v>
      </c>
      <c r="Z31" s="304"/>
      <c r="AA31" s="304" t="s">
        <v>55</v>
      </c>
      <c r="AB31" s="304"/>
      <c r="AC31" s="304" t="s">
        <v>58</v>
      </c>
      <c r="AD31" s="304" t="s">
        <v>60</v>
      </c>
      <c r="AE31" s="304"/>
      <c r="AF31" s="304"/>
      <c r="AG31" s="22"/>
      <c r="AH31" s="22"/>
      <c r="AI31" s="22"/>
      <c r="AJ31" s="22"/>
      <c r="AK31" s="22"/>
    </row>
    <row r="32" spans="1:37" ht="18" customHeight="1">
      <c r="A32" s="302"/>
      <c r="B32" s="302"/>
      <c r="C32" s="96"/>
      <c r="D32" s="101" t="s">
        <v>39</v>
      </c>
      <c r="E32" s="145"/>
      <c r="F32" s="145"/>
      <c r="G32" s="145"/>
      <c r="H32" s="145"/>
      <c r="I32" s="98"/>
      <c r="J32" s="99"/>
      <c r="K32" s="99"/>
      <c r="L32" s="99"/>
      <c r="M32" s="99"/>
      <c r="N32" s="99"/>
      <c r="O32" s="99"/>
      <c r="P32" s="103"/>
      <c r="Q32" s="103"/>
      <c r="R32" s="103"/>
      <c r="S32" s="103"/>
      <c r="T32" s="124"/>
      <c r="U32" s="428"/>
      <c r="V32" s="428"/>
      <c r="W32" s="428"/>
      <c r="X32" s="428"/>
      <c r="Y32" s="304" t="s">
        <v>56</v>
      </c>
      <c r="Z32" s="304"/>
      <c r="AA32" s="304" t="s">
        <v>56</v>
      </c>
      <c r="AB32" s="304"/>
      <c r="AC32" s="304"/>
      <c r="AD32" s="311" t="s">
        <v>154</v>
      </c>
      <c r="AE32" s="304"/>
      <c r="AF32" s="304"/>
      <c r="AG32" s="22"/>
      <c r="AH32" s="22"/>
      <c r="AI32" s="22"/>
      <c r="AJ32" s="22"/>
      <c r="AK32" s="22"/>
    </row>
    <row r="33" spans="1:37" ht="18" customHeight="1">
      <c r="A33" s="302"/>
      <c r="B33" s="302"/>
      <c r="C33" s="96"/>
      <c r="D33" s="97"/>
      <c r="E33" s="104" t="s">
        <v>22</v>
      </c>
      <c r="F33" s="389">
        <v>50</v>
      </c>
      <c r="G33" s="419" t="s">
        <v>53</v>
      </c>
      <c r="H33" s="420"/>
      <c r="I33" s="98"/>
      <c r="J33" s="99"/>
      <c r="K33" s="108" t="s">
        <v>51</v>
      </c>
      <c r="L33" s="108"/>
      <c r="M33" s="108"/>
      <c r="N33" s="106" t="s">
        <v>22</v>
      </c>
      <c r="O33" s="390">
        <v>10</v>
      </c>
      <c r="P33" s="107"/>
      <c r="Q33" s="107" t="s">
        <v>52</v>
      </c>
      <c r="R33" s="107"/>
      <c r="S33" s="107"/>
      <c r="T33" s="124"/>
      <c r="U33" s="428"/>
      <c r="V33" s="428"/>
      <c r="W33" s="428"/>
      <c r="X33" s="428"/>
      <c r="Y33" s="343">
        <f>IF(Q30=Y29,einrichtung,IF(Q30=Y30,einrichtung/kinder_,IF(Q30=Y31,einrichtung/kinder_/5,einrichtung/kinder_/tage_)))</f>
        <v>6</v>
      </c>
      <c r="Z33" s="304" t="s">
        <v>62</v>
      </c>
      <c r="AA33" s="343">
        <f>IF(Q31=AA29,ausflug,IF(Q31=AA30,ausflug/(kinder_+personen),IF(Q31=AA31,ausflug/(kinder_+personen)/5,ausflug/(kinder_+personen)/tage_)))</f>
        <v>5</v>
      </c>
      <c r="AB33" s="304" t="s">
        <v>61</v>
      </c>
      <c r="AC33" s="304"/>
      <c r="AD33" s="304"/>
      <c r="AE33" s="304"/>
      <c r="AF33" s="304"/>
      <c r="AG33" s="22"/>
      <c r="AH33" s="22"/>
      <c r="AI33" s="22"/>
      <c r="AJ33" s="22"/>
      <c r="AK33" s="22"/>
    </row>
    <row r="34" spans="1:37" ht="13.5" customHeight="1">
      <c r="A34" s="302"/>
      <c r="B34" s="302"/>
      <c r="C34" s="96"/>
      <c r="D34" s="97"/>
      <c r="E34" s="51"/>
      <c r="F34" s="98"/>
      <c r="G34" s="98"/>
      <c r="H34" s="98"/>
      <c r="I34" s="98"/>
      <c r="J34" s="99"/>
      <c r="K34" s="99"/>
      <c r="L34" s="99"/>
      <c r="M34" s="99"/>
      <c r="N34" s="99"/>
      <c r="O34" s="99"/>
      <c r="P34" s="103"/>
      <c r="Q34" s="103"/>
      <c r="R34" s="103"/>
      <c r="S34" s="103"/>
      <c r="T34" s="124"/>
      <c r="U34" s="428"/>
      <c r="V34" s="428"/>
      <c r="W34" s="428"/>
      <c r="X34" s="428"/>
      <c r="Y34" s="304"/>
      <c r="Z34" s="304"/>
      <c r="AA34" s="304"/>
      <c r="AB34" s="304"/>
      <c r="AC34" s="304"/>
      <c r="AD34" s="304"/>
      <c r="AE34" s="304"/>
      <c r="AF34" s="304"/>
      <c r="AG34" s="22"/>
      <c r="AH34" s="22"/>
      <c r="AI34" s="22"/>
      <c r="AJ34" s="22"/>
      <c r="AK34" s="22"/>
    </row>
    <row r="35" spans="1:37" ht="13.5" customHeight="1">
      <c r="A35" s="302"/>
      <c r="B35" s="302"/>
      <c r="C35" s="96"/>
      <c r="D35" s="97"/>
      <c r="E35" s="51"/>
      <c r="F35" s="289"/>
      <c r="G35" s="98"/>
      <c r="H35" s="98"/>
      <c r="I35" s="98"/>
      <c r="J35" s="99"/>
      <c r="K35" s="99"/>
      <c r="L35" s="99"/>
      <c r="M35" s="99"/>
      <c r="N35" s="99"/>
      <c r="O35" s="290"/>
      <c r="P35" s="103"/>
      <c r="Q35" s="103"/>
      <c r="R35" s="103"/>
      <c r="S35" s="103"/>
      <c r="T35" s="124"/>
      <c r="U35" s="428"/>
      <c r="V35" s="428"/>
      <c r="W35" s="428"/>
      <c r="X35" s="428"/>
      <c r="Y35" s="343">
        <f>IF(Q29=AA30,raum,IF(Q29=AA31,raum/5,raum/tage_))</f>
        <v>80</v>
      </c>
      <c r="Z35" s="304" t="s">
        <v>63</v>
      </c>
      <c r="AA35" s="304"/>
      <c r="AB35" s="304"/>
      <c r="AC35" s="304"/>
      <c r="AD35" s="304"/>
      <c r="AE35" s="304"/>
      <c r="AF35" s="304"/>
      <c r="AG35" s="22"/>
      <c r="AH35" s="22"/>
      <c r="AI35" s="22"/>
      <c r="AJ35" s="22"/>
      <c r="AK35" s="22"/>
    </row>
    <row r="36" spans="1:37" ht="13.5" customHeight="1">
      <c r="A36" s="302"/>
      <c r="B36" s="302"/>
      <c r="C36" s="327"/>
      <c r="D36" s="120"/>
      <c r="E36" s="121"/>
      <c r="F36" s="122"/>
      <c r="G36" s="122"/>
      <c r="H36" s="122"/>
      <c r="I36" s="122"/>
      <c r="J36" s="122"/>
      <c r="K36" s="122"/>
      <c r="L36" s="122"/>
      <c r="M36" s="122"/>
      <c r="N36" s="122"/>
      <c r="O36" s="122"/>
      <c r="P36" s="122"/>
      <c r="Q36" s="122"/>
      <c r="R36" s="122"/>
      <c r="S36" s="123"/>
      <c r="T36" s="124"/>
      <c r="U36" s="428"/>
      <c r="V36" s="428"/>
      <c r="W36" s="428"/>
      <c r="X36" s="428"/>
      <c r="Y36" s="304"/>
      <c r="Z36" s="304"/>
      <c r="AA36" s="304"/>
      <c r="AB36" s="304"/>
      <c r="AC36" s="304"/>
      <c r="AD36" s="304"/>
      <c r="AE36" s="304"/>
      <c r="AF36" s="304"/>
      <c r="AG36" s="22"/>
      <c r="AH36" s="22"/>
      <c r="AI36" s="22"/>
      <c r="AJ36" s="22"/>
      <c r="AK36" s="22"/>
    </row>
    <row r="37" spans="1:37" ht="13.5" customHeight="1">
      <c r="A37" s="302"/>
      <c r="B37" s="302"/>
      <c r="C37" s="327"/>
      <c r="D37" s="362"/>
      <c r="E37" s="331"/>
      <c r="F37" s="302"/>
      <c r="G37" s="302"/>
      <c r="H37" s="302"/>
      <c r="I37" s="302"/>
      <c r="J37" s="302"/>
      <c r="K37" s="302"/>
      <c r="L37" s="302"/>
      <c r="M37" s="302"/>
      <c r="N37" s="302"/>
      <c r="O37" s="302"/>
      <c r="P37" s="302"/>
      <c r="Q37" s="302"/>
      <c r="R37" s="302"/>
      <c r="S37" s="303"/>
      <c r="T37" s="304"/>
      <c r="U37" s="304"/>
      <c r="V37" s="304"/>
      <c r="W37" s="304"/>
      <c r="X37" s="304"/>
      <c r="Y37" s="304"/>
      <c r="Z37" s="304"/>
      <c r="AA37" s="304"/>
      <c r="AB37" s="304"/>
      <c r="AC37" s="304"/>
      <c r="AD37" s="304"/>
      <c r="AE37" s="304"/>
      <c r="AF37" s="304"/>
      <c r="AG37" s="22"/>
      <c r="AH37" s="22"/>
      <c r="AI37" s="22"/>
      <c r="AJ37" s="22"/>
      <c r="AK37" s="22"/>
    </row>
    <row r="38" spans="1:37" ht="18" customHeight="1">
      <c r="A38" s="302"/>
      <c r="B38" s="302"/>
      <c r="C38" s="116"/>
      <c r="D38" s="110"/>
      <c r="E38" s="32"/>
      <c r="F38" s="33"/>
      <c r="G38" s="33"/>
      <c r="H38" s="33"/>
      <c r="I38" s="33"/>
      <c r="J38" s="33"/>
      <c r="K38" s="33"/>
      <c r="L38" s="33"/>
      <c r="M38" s="33"/>
      <c r="N38" s="33"/>
      <c r="O38" s="33"/>
      <c r="P38" s="33"/>
      <c r="Q38" s="302"/>
      <c r="R38" s="302"/>
      <c r="S38" s="303"/>
      <c r="T38" s="304"/>
      <c r="U38" s="304"/>
      <c r="V38" s="304"/>
      <c r="W38" s="304"/>
      <c r="X38" s="304"/>
      <c r="AE38" s="304"/>
      <c r="AF38" s="304"/>
      <c r="AG38" s="22"/>
      <c r="AH38" s="22"/>
      <c r="AI38" s="22"/>
      <c r="AJ38" s="22"/>
      <c r="AK38" s="22"/>
    </row>
    <row r="39" spans="1:37" ht="32.25" customHeight="1">
      <c r="A39" s="302"/>
      <c r="B39" s="302"/>
      <c r="C39" s="109"/>
      <c r="D39" s="31"/>
      <c r="G39" s="282"/>
      <c r="H39" s="416" t="s">
        <v>53</v>
      </c>
      <c r="I39" s="416"/>
      <c r="J39" s="42"/>
      <c r="K39" s="418" t="s">
        <v>57</v>
      </c>
      <c r="L39" s="418"/>
      <c r="M39" s="42"/>
      <c r="N39" s="416" t="s">
        <v>60</v>
      </c>
      <c r="O39" s="416"/>
      <c r="P39" s="283"/>
      <c r="Q39" s="305"/>
      <c r="R39" s="305"/>
      <c r="S39" s="303"/>
      <c r="T39" s="304"/>
      <c r="U39" s="304"/>
      <c r="V39" s="304"/>
      <c r="W39" s="304"/>
      <c r="X39" s="304"/>
      <c r="Y39" s="251">
        <v>30</v>
      </c>
      <c r="Z39" s="146" t="s">
        <v>64</v>
      </c>
      <c r="AE39" s="304"/>
      <c r="AF39" s="304"/>
      <c r="AG39" s="22"/>
      <c r="AH39" s="22"/>
      <c r="AI39" s="22"/>
      <c r="AJ39" s="22"/>
      <c r="AK39" s="22"/>
    </row>
    <row r="40" spans="1:37" ht="5.25" customHeight="1">
      <c r="A40" s="326"/>
      <c r="B40" s="326"/>
      <c r="C40" s="113"/>
      <c r="D40" s="36"/>
      <c r="G40" s="35"/>
      <c r="H40" s="35"/>
      <c r="I40" s="35"/>
      <c r="J40" s="35"/>
      <c r="K40" s="36"/>
      <c r="L40" s="35"/>
      <c r="M40" s="35"/>
      <c r="N40" s="35"/>
      <c r="O40" s="35"/>
      <c r="Q40" s="306"/>
      <c r="R40" s="306"/>
      <c r="S40" s="303"/>
      <c r="T40" s="304"/>
      <c r="U40" s="304"/>
      <c r="V40" s="304"/>
      <c r="W40" s="304"/>
      <c r="X40" s="304"/>
      <c r="AE40" s="304"/>
      <c r="AF40" s="304"/>
      <c r="AG40" s="22"/>
      <c r="AH40" s="22"/>
      <c r="AI40" s="22"/>
      <c r="AJ40" s="22"/>
      <c r="AK40" s="22"/>
    </row>
    <row r="41" spans="1:37" ht="18" customHeight="1">
      <c r="A41" s="317"/>
      <c r="B41" s="317"/>
      <c r="C41" s="38"/>
      <c r="D41" s="41"/>
      <c r="G41" s="42"/>
      <c r="H41" s="42"/>
      <c r="I41" s="42"/>
      <c r="J41" s="42"/>
      <c r="K41" s="44"/>
      <c r="L41" s="111"/>
      <c r="M41" s="42"/>
      <c r="N41" s="42"/>
      <c r="O41" s="111"/>
      <c r="Q41" s="306"/>
      <c r="R41" s="306"/>
      <c r="S41" s="303"/>
      <c r="T41" s="304"/>
      <c r="U41" s="304"/>
      <c r="V41" s="304"/>
      <c r="W41" s="304"/>
      <c r="X41" s="304"/>
      <c r="AE41" s="304"/>
      <c r="AF41" s="304"/>
      <c r="AG41" s="22"/>
      <c r="AH41" s="22"/>
      <c r="AI41" s="22"/>
      <c r="AJ41" s="22"/>
      <c r="AK41" s="22"/>
    </row>
    <row r="42" spans="1:37" ht="18" customHeight="1">
      <c r="A42" s="312"/>
      <c r="B42" s="312"/>
      <c r="C42" s="117" t="s">
        <v>65</v>
      </c>
      <c r="D42" s="32"/>
      <c r="E42" s="127" t="s">
        <v>67</v>
      </c>
      <c r="G42" s="37"/>
      <c r="H42" s="118" t="s">
        <v>22</v>
      </c>
      <c r="I42" s="286">
        <f>ROUND(HLOOKUP(H$39,$I$142:$R$158,11,FALSE)*2,1)/2</f>
        <v>79</v>
      </c>
      <c r="J42" s="37"/>
      <c r="K42" s="118" t="s">
        <v>22</v>
      </c>
      <c r="L42" s="45">
        <f>ROUND(HLOOKUP(K$39,$I$142:$R$158,11,FALSE)*2,1)/2</f>
        <v>1896.25</v>
      </c>
      <c r="M42" s="118"/>
      <c r="N42" s="118" t="s">
        <v>22</v>
      </c>
      <c r="O42" s="45">
        <f>ROUND(HLOOKUP(N$39,$I$142:$R$158,11,FALSE)*2,1)/2</f>
        <v>47405.95</v>
      </c>
      <c r="Q42" s="307"/>
      <c r="R42" s="307"/>
      <c r="S42" s="307"/>
      <c r="T42" s="304"/>
      <c r="U42" s="308"/>
      <c r="V42" s="308"/>
      <c r="W42" s="308"/>
      <c r="X42" s="308"/>
      <c r="Y42" s="27"/>
      <c r="AE42" s="304"/>
      <c r="AF42" s="304"/>
      <c r="AG42" s="22"/>
      <c r="AH42" s="22"/>
      <c r="AI42" s="22"/>
      <c r="AJ42" s="22"/>
      <c r="AK42" s="22"/>
    </row>
    <row r="43" spans="1:37" s="22" customFormat="1" ht="18" customHeight="1">
      <c r="A43" s="317"/>
      <c r="B43" s="317"/>
      <c r="C43" s="34"/>
      <c r="E43" s="72" t="s">
        <v>47</v>
      </c>
      <c r="G43" s="37"/>
      <c r="H43" s="118" t="s">
        <v>22</v>
      </c>
      <c r="I43" s="286">
        <f>ROUND((HLOOKUP(H$39,$I$142:$R$158,12,FALSE)+HLOOKUP(H$39,$I$142:$R$158,13,FALSE)+HLOOKUP(H$39,$I$142:$R$158,14,FALSE))*2,1)/2</f>
        <v>14.95</v>
      </c>
      <c r="J43" s="37"/>
      <c r="K43" s="118" t="s">
        <v>22</v>
      </c>
      <c r="L43" s="45">
        <f>ROUND((HLOOKUP(K$39,$I$142:$R$158,12,FALSE)+HLOOKUP(K$39,$I$142:$R$158,13,FALSE)+HLOOKUP(K$39,$I$142:$R$158,14,FALSE))*2,1)/2</f>
        <v>359</v>
      </c>
      <c r="M43" s="118"/>
      <c r="N43" s="38" t="s">
        <v>22</v>
      </c>
      <c r="O43" s="45">
        <f>ROUND((HLOOKUP(N$39,$I$142:$R$158,12,FALSE)+HLOOKUP(N$39,$I$142:$R$158,13,FALSE)+HLOOKUP(N$39,$I$142:$R$158,14,FALSE))*2,1)/2</f>
        <v>8975</v>
      </c>
      <c r="Q43" s="307"/>
      <c r="R43" s="307"/>
      <c r="S43" s="307"/>
      <c r="T43" s="304"/>
      <c r="U43" s="309"/>
      <c r="V43" s="310"/>
      <c r="W43" s="310"/>
      <c r="X43" s="310"/>
      <c r="Y43" s="28"/>
      <c r="Z43" s="28"/>
      <c r="AE43" s="304"/>
      <c r="AF43" s="304"/>
    </row>
    <row r="44" spans="1:37" s="22" customFormat="1" ht="18" customHeight="1">
      <c r="A44" s="317"/>
      <c r="B44" s="317"/>
      <c r="C44" s="34"/>
      <c r="D44" s="34"/>
      <c r="E44" s="27" t="s">
        <v>51</v>
      </c>
      <c r="G44" s="37"/>
      <c r="H44" s="118" t="s">
        <v>22</v>
      </c>
      <c r="I44" s="286">
        <f>ROUND(HLOOKUP(H$39,$I$142:$R$158,15,FALSE)*2,1)/2</f>
        <v>11.25</v>
      </c>
      <c r="J44" s="37"/>
      <c r="K44" s="118" t="s">
        <v>22</v>
      </c>
      <c r="L44" s="45">
        <f>ROUND(HLOOKUP(K$39,$I$142:$R$158,15,FALSE)*2,1)/2</f>
        <v>270</v>
      </c>
      <c r="M44" s="118"/>
      <c r="N44" s="38" t="s">
        <v>22</v>
      </c>
      <c r="O44" s="45">
        <f>ROUND(HLOOKUP(N$39,$I$142:$R$158,15,FALSE)*2,1)/2</f>
        <v>6750</v>
      </c>
      <c r="Q44" s="307"/>
      <c r="R44" s="307"/>
      <c r="S44" s="307"/>
      <c r="T44" s="304"/>
      <c r="U44" s="311"/>
      <c r="V44" s="310"/>
      <c r="W44" s="310"/>
      <c r="X44" s="310"/>
      <c r="Y44" s="28"/>
      <c r="Z44" s="28"/>
      <c r="AE44" s="304"/>
      <c r="AF44" s="304"/>
    </row>
    <row r="45" spans="1:37" s="22" customFormat="1" ht="18" customHeight="1">
      <c r="A45" s="317"/>
      <c r="B45" s="317"/>
      <c r="C45" s="34"/>
      <c r="D45" s="34"/>
      <c r="E45" s="404" t="s">
        <v>149</v>
      </c>
      <c r="F45" s="404"/>
      <c r="G45" s="404"/>
      <c r="H45" s="118" t="s">
        <v>22</v>
      </c>
      <c r="I45" s="286">
        <f>ROUND(HLOOKUP(H$39,$I$142:$R$158,16,FALSE)*2,1)/2</f>
        <v>0</v>
      </c>
      <c r="J45" s="37"/>
      <c r="K45" s="118" t="s">
        <v>22</v>
      </c>
      <c r="L45" s="45">
        <f>ROUND(HLOOKUP(K$39,$I$142:$R$158,16,FALSE)*2,1)/2</f>
        <v>0</v>
      </c>
      <c r="M45" s="118"/>
      <c r="N45" s="38" t="s">
        <v>22</v>
      </c>
      <c r="O45" s="363">
        <v>0</v>
      </c>
      <c r="Q45" s="307"/>
      <c r="R45" s="307"/>
      <c r="S45" s="307"/>
      <c r="T45" s="304"/>
      <c r="U45" s="311"/>
      <c r="V45" s="310"/>
      <c r="W45" s="310"/>
      <c r="X45" s="310"/>
      <c r="Y45" s="28"/>
      <c r="Z45" s="28"/>
      <c r="AE45" s="304"/>
      <c r="AF45" s="304"/>
    </row>
    <row r="46" spans="1:37" ht="6" customHeight="1">
      <c r="A46" s="312"/>
      <c r="B46" s="312"/>
      <c r="C46" s="116"/>
      <c r="D46" s="32"/>
      <c r="E46" s="376"/>
      <c r="F46" s="129"/>
      <c r="G46" s="40"/>
      <c r="H46" s="40"/>
      <c r="I46" s="40"/>
      <c r="J46" s="40"/>
      <c r="K46" s="39"/>
      <c r="L46" s="47"/>
      <c r="M46" s="40"/>
      <c r="N46" s="40"/>
      <c r="O46" s="47"/>
      <c r="Q46" s="307"/>
      <c r="R46" s="307"/>
      <c r="S46" s="307"/>
      <c r="T46" s="304"/>
      <c r="U46" s="304"/>
      <c r="V46" s="304"/>
      <c r="W46" s="304"/>
      <c r="X46" s="304"/>
      <c r="AE46" s="304"/>
      <c r="AF46" s="304"/>
      <c r="AG46" s="22"/>
      <c r="AH46" s="22"/>
      <c r="AI46" s="22"/>
      <c r="AJ46" s="22"/>
      <c r="AK46" s="22"/>
    </row>
    <row r="47" spans="1:37" ht="6" customHeight="1">
      <c r="A47" s="312"/>
      <c r="B47" s="312"/>
      <c r="C47" s="116"/>
      <c r="D47" s="32"/>
      <c r="G47" s="33"/>
      <c r="H47" s="33"/>
      <c r="I47" s="33"/>
      <c r="J47" s="33"/>
      <c r="K47" s="32"/>
      <c r="L47" s="46"/>
      <c r="M47" s="33"/>
      <c r="N47" s="33"/>
      <c r="O47" s="46"/>
      <c r="Q47" s="307"/>
      <c r="R47" s="307"/>
      <c r="S47" s="307"/>
      <c r="T47" s="304"/>
      <c r="U47" s="304"/>
      <c r="V47" s="304"/>
      <c r="W47" s="304"/>
      <c r="X47" s="304"/>
      <c r="AE47" s="304"/>
      <c r="AF47" s="304"/>
      <c r="AG47" s="22"/>
      <c r="AH47" s="22"/>
      <c r="AI47" s="22"/>
      <c r="AJ47" s="22"/>
      <c r="AK47" s="22"/>
    </row>
    <row r="48" spans="1:37" s="22" customFormat="1" ht="18" customHeight="1">
      <c r="A48" s="317"/>
      <c r="B48" s="317"/>
      <c r="C48" s="34"/>
      <c r="D48" s="34"/>
      <c r="E48" s="29" t="s">
        <v>68</v>
      </c>
      <c r="G48" s="112"/>
      <c r="H48" s="249" t="s">
        <v>22</v>
      </c>
      <c r="I48" s="297">
        <f>SUM(I42:I47)</f>
        <v>105.2</v>
      </c>
      <c r="J48" s="112"/>
      <c r="K48" s="249" t="s">
        <v>22</v>
      </c>
      <c r="L48" s="48">
        <f>SUM(L42:L47)</f>
        <v>2525.25</v>
      </c>
      <c r="M48" s="249"/>
      <c r="N48" s="43" t="s">
        <v>22</v>
      </c>
      <c r="O48" s="48">
        <f>SUM(O42:O47)</f>
        <v>63130.95</v>
      </c>
      <c r="Q48" s="307"/>
      <c r="R48" s="307"/>
      <c r="S48" s="307"/>
      <c r="T48" s="304"/>
      <c r="U48" s="309"/>
      <c r="V48" s="310"/>
      <c r="W48" s="310"/>
      <c r="X48" s="310"/>
      <c r="Y48" s="28"/>
      <c r="Z48" s="28"/>
      <c r="AE48" s="304"/>
      <c r="AF48" s="304"/>
    </row>
    <row r="49" spans="1:32" s="22" customFormat="1" ht="18" customHeight="1">
      <c r="A49" s="317"/>
      <c r="B49" s="317"/>
      <c r="C49" s="34"/>
      <c r="D49" s="34"/>
      <c r="G49" s="49"/>
      <c r="H49" s="249"/>
      <c r="I49" s="298"/>
      <c r="J49" s="249"/>
      <c r="M49" s="249"/>
      <c r="N49" s="43"/>
      <c r="O49" s="48"/>
      <c r="Q49" s="304"/>
      <c r="R49" s="304"/>
      <c r="S49" s="303"/>
      <c r="T49" s="304"/>
      <c r="U49" s="309"/>
      <c r="V49" s="310"/>
      <c r="W49" s="310"/>
      <c r="X49" s="310"/>
      <c r="Y49" s="28"/>
      <c r="Z49" s="28"/>
      <c r="AE49" s="304"/>
      <c r="AF49" s="304"/>
    </row>
    <row r="50" spans="1:32" ht="18" customHeight="1">
      <c r="A50" s="317"/>
      <c r="B50" s="317"/>
      <c r="C50" s="38"/>
      <c r="D50" s="41"/>
      <c r="G50" s="42"/>
      <c r="H50" s="42"/>
      <c r="I50" s="299"/>
      <c r="J50" s="42"/>
      <c r="K50" s="44"/>
      <c r="L50" s="111"/>
      <c r="M50" s="42"/>
      <c r="N50" s="42"/>
      <c r="O50" s="111"/>
      <c r="Q50" s="306"/>
      <c r="R50" s="306"/>
      <c r="S50" s="303"/>
      <c r="T50" s="304"/>
      <c r="U50" s="304"/>
      <c r="V50" s="304"/>
      <c r="W50" s="304"/>
      <c r="X50" s="304"/>
      <c r="Y50" s="25" t="s">
        <v>155</v>
      </c>
      <c r="AE50" s="304"/>
      <c r="AF50" s="304"/>
    </row>
    <row r="51" spans="1:32" ht="18" customHeight="1" collapsed="1">
      <c r="A51" s="312"/>
      <c r="B51" s="312"/>
      <c r="C51" s="117" t="s">
        <v>66</v>
      </c>
      <c r="D51" s="32"/>
      <c r="E51" s="127" t="s">
        <v>38</v>
      </c>
      <c r="G51" s="37"/>
      <c r="H51" s="118" t="s">
        <v>22</v>
      </c>
      <c r="I51" s="286">
        <f>ROUND(HLOOKUP(H$39,$I$142:$R$168,18,FALSE)*2,1)/2</f>
        <v>25</v>
      </c>
      <c r="J51" s="37"/>
      <c r="K51" s="118" t="s">
        <v>22</v>
      </c>
      <c r="L51" s="45">
        <f>ROUND(HLOOKUP(K$39,$I$142:$R$168,18,FALSE)*2,1)/2</f>
        <v>600</v>
      </c>
      <c r="M51" s="118"/>
      <c r="N51" s="118" t="s">
        <v>22</v>
      </c>
      <c r="O51" s="45">
        <f>ROUND(HLOOKUP(N$39,$I$142:$R$168,18,FALSE)*2,1)/2</f>
        <v>15000</v>
      </c>
      <c r="Q51" s="425" t="s">
        <v>157</v>
      </c>
      <c r="R51" s="425"/>
      <c r="S51" s="425"/>
      <c r="T51" s="425"/>
      <c r="U51" s="425"/>
      <c r="V51" s="425"/>
      <c r="W51" s="308"/>
      <c r="X51" s="308"/>
      <c r="Y51" s="27" t="s">
        <v>156</v>
      </c>
      <c r="AE51" s="304"/>
      <c r="AF51" s="304"/>
    </row>
    <row r="52" spans="1:32" ht="18" customHeight="1" collapsed="1">
      <c r="A52" s="312"/>
      <c r="B52" s="312"/>
      <c r="C52" s="116"/>
      <c r="D52" s="32"/>
      <c r="E52" s="72" t="s">
        <v>70</v>
      </c>
      <c r="G52" s="37"/>
      <c r="H52" s="118" t="s">
        <v>22</v>
      </c>
      <c r="I52" s="286">
        <f>IF(Q52=Y50,ROUND(HLOOKUP(H$39,$I$142:$R$168,20,FALSE)*2,1)/2,0)</f>
        <v>30</v>
      </c>
      <c r="J52" s="37"/>
      <c r="K52" s="118" t="s">
        <v>22</v>
      </c>
      <c r="L52" s="45">
        <f>IF(Q52=Y50,ROUND(HLOOKUP(K$39,$I$142:$R$168,20,FALSE)*2,1)/2,0)</f>
        <v>720</v>
      </c>
      <c r="M52" s="118"/>
      <c r="N52" s="118" t="s">
        <v>22</v>
      </c>
      <c r="O52" s="45">
        <f>IF(Q52=Y50,ROUND(HLOOKUP(N$39,$I$142:$R$168,20,FALSE)*2,1)/2,0)</f>
        <v>18000</v>
      </c>
      <c r="Q52" s="424" t="s">
        <v>155</v>
      </c>
      <c r="R52" s="424"/>
      <c r="S52" s="424"/>
      <c r="T52" s="369"/>
      <c r="U52" s="370"/>
      <c r="V52" s="370"/>
      <c r="W52" s="368"/>
      <c r="X52" s="368"/>
      <c r="Y52" s="27" t="str">
        <f>"Le canton ne verse une subvention de Fr. "&amp;kanton&amp;" par enfant et par jour que si la contribution versée par la commune prestataire pour les enfants qui ont leur domicile civil dans cette commune est au moins égale à la subvention du canton."</f>
        <v>Le canton ne verse une subvention de Fr. 30 par enfant et par jour que si la contribution versée par la commune prestataire pour les enfants qui ont leur domicile civil dans cette commune est au moins égale à la subvention du canton.</v>
      </c>
      <c r="AE52" s="304"/>
      <c r="AF52" s="304"/>
    </row>
    <row r="53" spans="1:32" ht="18" customHeight="1">
      <c r="A53" s="312"/>
      <c r="B53" s="312"/>
      <c r="C53" s="116"/>
      <c r="D53" s="32"/>
      <c r="E53" s="147" t="s">
        <v>71</v>
      </c>
      <c r="F53" s="32"/>
      <c r="G53" s="112"/>
      <c r="H53" s="118" t="s">
        <v>22</v>
      </c>
      <c r="I53" s="286">
        <f>IF(G33=AD32,ROUND(HLOOKUP(H$39,$I$142:$R$168,22,FALSE)*2,1)/2,ROUND(HLOOKUP(H$39,$I$142:$R$168,19,FALSE)*2,1)/2)</f>
        <v>50</v>
      </c>
      <c r="J53" s="112"/>
      <c r="K53" s="118" t="s">
        <v>22</v>
      </c>
      <c r="L53" s="45">
        <f>IF(G33=AD32,ROUND(HLOOKUP(K$39,$I$142:$R$168,22,FALSE)*2,1)/2,ROUND(HLOOKUP(K$39,$I$142:$R$168,19,FALSE)*2,1)/2)</f>
        <v>1200</v>
      </c>
      <c r="M53" s="249"/>
      <c r="N53" s="118" t="s">
        <v>22</v>
      </c>
      <c r="O53" s="45">
        <f>IF(G33=AD32,ROUND(HLOOKUP(N$39,$I$142:$R$168,22,FALSE)*2,1)/2,ROUND(HLOOKUP(N$39,$I$142:$R$168,19,FALSE)*2,1)/2)</f>
        <v>30000</v>
      </c>
      <c r="P53" s="131"/>
      <c r="Q53" s="426" t="s">
        <v>160</v>
      </c>
      <c r="R53" s="426"/>
      <c r="S53" s="426"/>
      <c r="T53" s="426"/>
      <c r="U53" s="426"/>
      <c r="V53" s="426"/>
      <c r="W53" s="368"/>
      <c r="X53" s="368"/>
      <c r="AE53" s="304"/>
      <c r="AF53" s="304"/>
    </row>
    <row r="54" spans="1:32" ht="18" customHeight="1" collapsed="1">
      <c r="A54" s="312"/>
      <c r="B54" s="312"/>
      <c r="C54" s="116"/>
      <c r="D54" s="32"/>
      <c r="E54" s="27" t="s">
        <v>72</v>
      </c>
      <c r="G54" s="37"/>
      <c r="H54" s="118" t="s">
        <v>22</v>
      </c>
      <c r="I54" s="286">
        <f>ROUND(HLOOKUP(H$39,$I$142:$R$168,21,FALSE)*2,1)/2</f>
        <v>0</v>
      </c>
      <c r="J54" s="37"/>
      <c r="K54" s="118" t="s">
        <v>22</v>
      </c>
      <c r="L54" s="45">
        <f>ROUND(HLOOKUP(K$39,$I$142:$R$168,21,FALSE)*2,1)/2</f>
        <v>0</v>
      </c>
      <c r="M54" s="118"/>
      <c r="N54" s="118" t="s">
        <v>22</v>
      </c>
      <c r="O54" s="363">
        <v>0</v>
      </c>
      <c r="P54" s="366" t="str">
        <f>IF(O54=O88,"","!")</f>
        <v/>
      </c>
      <c r="Q54" s="426"/>
      <c r="R54" s="426"/>
      <c r="S54" s="426"/>
      <c r="T54" s="426"/>
      <c r="U54" s="426"/>
      <c r="V54" s="426"/>
      <c r="W54" s="368"/>
      <c r="X54" s="368"/>
      <c r="Y54" s="27"/>
      <c r="AE54" s="304"/>
      <c r="AF54" s="304"/>
    </row>
    <row r="55" spans="1:32" ht="6" customHeight="1">
      <c r="A55" s="312"/>
      <c r="B55" s="312"/>
      <c r="C55" s="116"/>
      <c r="D55" s="32"/>
      <c r="E55" s="128"/>
      <c r="F55" s="129"/>
      <c r="G55" s="40"/>
      <c r="H55" s="40"/>
      <c r="I55" s="300"/>
      <c r="J55" s="40"/>
      <c r="K55" s="39"/>
      <c r="L55" s="47"/>
      <c r="M55" s="40"/>
      <c r="N55" s="40"/>
      <c r="O55" s="372"/>
      <c r="Q55" s="426"/>
      <c r="R55" s="426"/>
      <c r="S55" s="426"/>
      <c r="T55" s="426"/>
      <c r="U55" s="426"/>
      <c r="V55" s="426"/>
      <c r="W55" s="368"/>
      <c r="X55" s="368"/>
      <c r="AE55" s="304"/>
      <c r="AF55" s="304"/>
    </row>
    <row r="56" spans="1:32" ht="6" customHeight="1">
      <c r="A56" s="312"/>
      <c r="B56" s="312"/>
      <c r="C56" s="109"/>
      <c r="D56" s="31"/>
      <c r="G56" s="33"/>
      <c r="H56" s="33"/>
      <c r="I56" s="301"/>
      <c r="J56" s="33"/>
      <c r="K56" s="32"/>
      <c r="L56" s="46"/>
      <c r="M56" s="33"/>
      <c r="N56" s="33"/>
      <c r="O56" s="46"/>
      <c r="Q56" s="426"/>
      <c r="R56" s="426"/>
      <c r="S56" s="426"/>
      <c r="T56" s="426"/>
      <c r="U56" s="426"/>
      <c r="V56" s="426"/>
      <c r="W56" s="368"/>
      <c r="X56" s="368"/>
      <c r="AE56" s="304"/>
      <c r="AF56" s="304"/>
    </row>
    <row r="57" spans="1:32" s="22" customFormat="1" ht="18" customHeight="1">
      <c r="A57" s="317"/>
      <c r="B57" s="317"/>
      <c r="C57" s="34"/>
      <c r="D57" s="34"/>
      <c r="E57" s="29" t="s">
        <v>73</v>
      </c>
      <c r="G57" s="112"/>
      <c r="H57" s="249" t="s">
        <v>22</v>
      </c>
      <c r="I57" s="297">
        <f>SUM(I51:I54)</f>
        <v>105</v>
      </c>
      <c r="J57" s="112"/>
      <c r="K57" s="249" t="s">
        <v>22</v>
      </c>
      <c r="L57" s="48">
        <f>SUM(L51:L54)</f>
        <v>2520</v>
      </c>
      <c r="M57" s="249"/>
      <c r="N57" s="43" t="s">
        <v>22</v>
      </c>
      <c r="O57" s="48">
        <f>SUM(O51:O54)</f>
        <v>63000</v>
      </c>
      <c r="Q57" s="426"/>
      <c r="R57" s="426"/>
      <c r="S57" s="426"/>
      <c r="T57" s="426"/>
      <c r="U57" s="426"/>
      <c r="V57" s="426"/>
      <c r="W57" s="368"/>
      <c r="X57" s="368"/>
      <c r="Y57" s="28"/>
      <c r="Z57" s="28"/>
      <c r="AE57" s="304"/>
      <c r="AF57" s="304"/>
    </row>
    <row r="58" spans="1:32" ht="18" customHeight="1">
      <c r="A58" s="312"/>
      <c r="B58" s="312"/>
      <c r="C58" s="109"/>
      <c r="D58" s="31"/>
      <c r="G58" s="49"/>
      <c r="H58" s="249"/>
      <c r="I58" s="249"/>
      <c r="J58" s="249"/>
      <c r="K58" s="249"/>
      <c r="L58" s="249"/>
      <c r="M58" s="249"/>
      <c r="P58" s="249"/>
      <c r="Q58" s="426"/>
      <c r="R58" s="426"/>
      <c r="S58" s="426"/>
      <c r="T58" s="426"/>
      <c r="U58" s="426"/>
      <c r="V58" s="426"/>
      <c r="W58" s="308"/>
      <c r="X58" s="308"/>
      <c r="Y58" s="27" t="s">
        <v>74</v>
      </c>
      <c r="AE58" s="304"/>
      <c r="AF58" s="304"/>
    </row>
    <row r="59" spans="1:32" ht="24" customHeight="1">
      <c r="A59" s="317"/>
      <c r="B59" s="317"/>
      <c r="C59" s="38"/>
      <c r="D59" s="41"/>
      <c r="E59" s="249"/>
      <c r="F59" s="49"/>
      <c r="G59" s="112"/>
      <c r="H59" s="112"/>
      <c r="I59" s="112"/>
      <c r="J59" s="112"/>
      <c r="K59" s="249"/>
      <c r="L59" s="249" t="str">
        <f>IF(O59&lt;0.5,Y58,Y59)</f>
        <v>Déficit</v>
      </c>
      <c r="M59" s="249"/>
      <c r="O59" s="114">
        <f>O57-O48</f>
        <v>-130.94999999999709</v>
      </c>
      <c r="P59" s="114"/>
      <c r="Q59" s="403" t="str">
        <f>IF(AND(O59&lt;0.5,O53-O59&lt;O52),Y61,IF(AND(O59&gt;=0.5,O53-O59&lt;O52),Y60,""))</f>
        <v/>
      </c>
      <c r="R59" s="403"/>
      <c r="S59" s="403"/>
      <c r="T59" s="403"/>
      <c r="U59" s="403"/>
      <c r="V59" s="371"/>
      <c r="W59" s="304"/>
      <c r="X59" s="304"/>
      <c r="Y59" s="25" t="s">
        <v>75</v>
      </c>
      <c r="AE59" s="304"/>
      <c r="AF59" s="304"/>
    </row>
    <row r="60" spans="1:32" ht="30" customHeight="1">
      <c r="A60" s="317"/>
      <c r="B60" s="317"/>
      <c r="C60" s="38"/>
      <c r="D60" s="41"/>
      <c r="E60" s="396"/>
      <c r="F60" s="396"/>
      <c r="G60" s="396"/>
      <c r="H60" s="396"/>
      <c r="I60" s="396"/>
      <c r="J60" s="396"/>
      <c r="K60" s="396"/>
      <c r="L60" s="396"/>
      <c r="M60" s="396"/>
      <c r="N60" s="396"/>
      <c r="O60" s="396"/>
      <c r="P60" s="115"/>
      <c r="Q60" s="403"/>
      <c r="R60" s="403"/>
      <c r="S60" s="403"/>
      <c r="T60" s="403"/>
      <c r="U60" s="403"/>
      <c r="V60" s="371"/>
      <c r="W60" s="304"/>
      <c r="X60" s="304"/>
      <c r="Y60" s="25" t="s">
        <v>159</v>
      </c>
      <c r="AE60" s="304"/>
      <c r="AF60" s="304"/>
    </row>
    <row r="61" spans="1:32" ht="29.25" customHeight="1">
      <c r="A61" s="317"/>
      <c r="B61" s="317"/>
      <c r="C61" s="38"/>
      <c r="D61" s="41"/>
      <c r="E61" s="398" t="s">
        <v>69</v>
      </c>
      <c r="F61" s="398"/>
      <c r="G61" s="398"/>
      <c r="H61" s="398"/>
      <c r="I61" s="398"/>
      <c r="J61" s="398"/>
      <c r="K61" s="398"/>
      <c r="L61" s="398"/>
      <c r="M61" s="398"/>
      <c r="N61" s="398"/>
      <c r="O61" s="398"/>
      <c r="P61" s="114"/>
      <c r="Q61" s="315"/>
      <c r="R61" s="306"/>
      <c r="S61" s="316"/>
      <c r="T61" s="304"/>
      <c r="U61" s="304"/>
      <c r="V61" s="304"/>
      <c r="W61" s="304"/>
      <c r="X61" s="304"/>
      <c r="Y61" s="25" t="s">
        <v>158</v>
      </c>
      <c r="AE61" s="304"/>
      <c r="AF61" s="304"/>
    </row>
    <row r="62" spans="1:32" ht="18" customHeight="1">
      <c r="A62" s="306"/>
      <c r="B62" s="306"/>
      <c r="Q62" s="306"/>
      <c r="R62" s="306"/>
      <c r="S62" s="304"/>
      <c r="T62" s="304"/>
      <c r="U62" s="304"/>
      <c r="V62" s="304"/>
      <c r="W62" s="304"/>
      <c r="X62" s="304"/>
      <c r="AE62" s="304"/>
      <c r="AF62" s="304"/>
    </row>
    <row r="63" spans="1:32" ht="18" customHeight="1">
      <c r="A63" s="302"/>
      <c r="B63" s="302"/>
      <c r="C63" s="117" t="s">
        <v>34</v>
      </c>
      <c r="D63" s="257"/>
      <c r="E63" s="127" t="s">
        <v>76</v>
      </c>
      <c r="F63" s="28"/>
      <c r="G63" s="35"/>
      <c r="H63" s="50"/>
      <c r="I63" s="45">
        <f>anzahlwochen</f>
        <v>5</v>
      </c>
      <c r="J63" s="35"/>
      <c r="K63" s="127" t="s">
        <v>78</v>
      </c>
      <c r="L63" s="28"/>
      <c r="M63" s="35"/>
      <c r="N63" s="50"/>
      <c r="O63" s="45">
        <f>IF(S92=Y93,I63*5,tageprojahr)</f>
        <v>25</v>
      </c>
      <c r="Q63" s="306"/>
      <c r="R63" s="306"/>
      <c r="S63" s="303"/>
      <c r="T63" s="304"/>
      <c r="U63" s="304"/>
      <c r="V63" s="304"/>
      <c r="W63" s="304"/>
      <c r="X63" s="304"/>
      <c r="AE63" s="304"/>
      <c r="AF63" s="304"/>
    </row>
    <row r="64" spans="1:32" ht="18" customHeight="1">
      <c r="A64" s="302"/>
      <c r="B64" s="302"/>
      <c r="C64" s="117"/>
      <c r="D64" s="257"/>
      <c r="E64" s="127" t="str">
        <f>E16</f>
        <v>Heures de prise en charge par jour</v>
      </c>
      <c r="F64" s="28"/>
      <c r="G64" s="35"/>
      <c r="H64" s="50"/>
      <c r="I64" s="45">
        <f>stunden</f>
        <v>10</v>
      </c>
      <c r="J64" s="35"/>
      <c r="K64" s="127"/>
      <c r="L64" s="28"/>
      <c r="M64" s="35"/>
      <c r="N64" s="50"/>
      <c r="O64" s="45"/>
      <c r="Q64" s="306"/>
      <c r="R64" s="306"/>
      <c r="S64" s="303"/>
      <c r="T64" s="304"/>
      <c r="U64" s="304"/>
      <c r="V64" s="304"/>
      <c r="W64" s="304"/>
      <c r="X64" s="304"/>
      <c r="AE64" s="304"/>
      <c r="AF64" s="304"/>
    </row>
    <row r="65" spans="1:32" ht="18" customHeight="1">
      <c r="A65" s="302"/>
      <c r="B65" s="302"/>
      <c r="C65" s="117"/>
      <c r="D65" s="257"/>
      <c r="E65" s="127" t="s">
        <v>77</v>
      </c>
      <c r="F65" s="28"/>
      <c r="G65" s="35"/>
      <c r="H65" s="50"/>
      <c r="I65" s="45">
        <f>kinder_</f>
        <v>24</v>
      </c>
      <c r="J65" s="35"/>
      <c r="K65" s="127" t="s">
        <v>79</v>
      </c>
      <c r="L65" s="28"/>
      <c r="M65" s="35"/>
      <c r="N65" s="50"/>
      <c r="O65" s="45">
        <f>O63*I65</f>
        <v>600</v>
      </c>
      <c r="Q65" s="306"/>
      <c r="R65" s="306"/>
      <c r="S65" s="303"/>
      <c r="T65" s="304"/>
      <c r="U65" s="304"/>
      <c r="V65" s="304"/>
      <c r="W65" s="304"/>
      <c r="X65" s="304"/>
      <c r="AE65" s="304"/>
      <c r="AF65" s="304"/>
    </row>
    <row r="66" spans="1:32" ht="8.25" customHeight="1">
      <c r="A66" s="312"/>
      <c r="B66" s="312"/>
      <c r="C66" s="113"/>
      <c r="D66" s="36"/>
      <c r="E66" s="258"/>
      <c r="F66" s="259"/>
      <c r="G66" s="260"/>
      <c r="H66" s="260"/>
      <c r="I66" s="260"/>
      <c r="J66" s="260"/>
      <c r="K66" s="261"/>
      <c r="L66" s="262"/>
      <c r="M66" s="260"/>
      <c r="N66" s="260"/>
      <c r="O66" s="262"/>
      <c r="Q66" s="306"/>
      <c r="R66" s="306"/>
      <c r="S66" s="313"/>
      <c r="T66" s="304"/>
      <c r="U66" s="304"/>
      <c r="V66" s="304"/>
      <c r="W66" s="304"/>
      <c r="X66" s="304"/>
      <c r="AE66" s="304"/>
      <c r="AF66" s="304"/>
    </row>
    <row r="67" spans="1:32" ht="8.25" customHeight="1">
      <c r="A67" s="312"/>
      <c r="B67" s="312"/>
      <c r="C67" s="263"/>
      <c r="D67" s="257"/>
      <c r="E67" s="264"/>
      <c r="F67" s="28"/>
      <c r="G67" s="35"/>
      <c r="H67" s="35"/>
      <c r="I67" s="35"/>
      <c r="J67" s="35"/>
      <c r="K67" s="36"/>
      <c r="L67" s="265"/>
      <c r="M67" s="35"/>
      <c r="N67" s="35"/>
      <c r="O67" s="265"/>
      <c r="Q67" s="306"/>
      <c r="R67" s="306"/>
      <c r="S67" s="313"/>
      <c r="T67" s="304"/>
      <c r="U67" s="304"/>
      <c r="V67" s="304"/>
      <c r="W67" s="304"/>
      <c r="X67" s="304"/>
      <c r="AE67" s="304"/>
      <c r="AF67" s="304"/>
    </row>
    <row r="68" spans="1:32" ht="18" customHeight="1">
      <c r="A68" s="302"/>
      <c r="B68" s="302"/>
      <c r="C68" s="117" t="s">
        <v>41</v>
      </c>
      <c r="D68" s="257"/>
      <c r="E68" s="127" t="str">
        <f>K14&amp;" : "&amp;schlüssel&amp;" "&amp;Q14</f>
        <v>Coefficient d'encadrement : 8 enfants par personne assurant l'encadrement au maximum</v>
      </c>
      <c r="F68" s="28"/>
      <c r="G68" s="35"/>
      <c r="H68" s="50"/>
      <c r="I68" s="266"/>
      <c r="J68" s="35"/>
      <c r="K68" s="35"/>
      <c r="L68" s="28"/>
      <c r="M68" s="35"/>
      <c r="N68" s="50"/>
      <c r="O68" s="35"/>
      <c r="Q68" s="306"/>
      <c r="R68" s="306"/>
      <c r="S68" s="303"/>
      <c r="T68" s="304"/>
      <c r="U68" s="304"/>
      <c r="V68" s="304"/>
      <c r="W68" s="304"/>
      <c r="X68" s="304"/>
      <c r="AE68" s="304"/>
      <c r="AF68" s="304"/>
    </row>
    <row r="69" spans="1:32" ht="14.25" customHeight="1">
      <c r="A69" s="302"/>
      <c r="B69" s="302"/>
      <c r="C69" s="117"/>
      <c r="D69" s="257"/>
      <c r="E69" s="399" t="s">
        <v>82</v>
      </c>
      <c r="F69" s="399"/>
      <c r="G69" s="399"/>
      <c r="H69" s="399"/>
      <c r="I69" s="399"/>
      <c r="J69" s="399"/>
      <c r="K69" s="399"/>
      <c r="L69" s="399"/>
      <c r="M69" s="399"/>
      <c r="N69" s="50"/>
      <c r="O69" s="25"/>
      <c r="Q69" s="306"/>
      <c r="R69" s="306"/>
      <c r="S69" s="303"/>
      <c r="T69" s="304"/>
      <c r="U69" s="304"/>
      <c r="V69" s="304"/>
      <c r="W69" s="304"/>
      <c r="X69" s="304"/>
      <c r="AE69" s="304"/>
      <c r="AF69" s="304"/>
    </row>
    <row r="70" spans="1:32" ht="18" customHeight="1">
      <c r="A70" s="302"/>
      <c r="B70" s="302"/>
      <c r="C70" s="117"/>
      <c r="D70" s="257"/>
      <c r="E70" s="399"/>
      <c r="F70" s="399"/>
      <c r="G70" s="399"/>
      <c r="H70" s="399"/>
      <c r="I70" s="399"/>
      <c r="J70" s="399"/>
      <c r="K70" s="399"/>
      <c r="L70" s="399"/>
      <c r="M70" s="399"/>
      <c r="N70" s="50"/>
      <c r="O70" s="285">
        <f>ausbildung</f>
        <v>0.5</v>
      </c>
      <c r="Q70" s="306"/>
      <c r="R70" s="306"/>
      <c r="S70" s="303"/>
      <c r="T70" s="304"/>
      <c r="U70" s="304"/>
      <c r="V70" s="304"/>
      <c r="W70" s="304"/>
      <c r="X70" s="304"/>
      <c r="AE70" s="304"/>
      <c r="AF70" s="304"/>
    </row>
    <row r="71" spans="1:32" ht="18" customHeight="1">
      <c r="A71" s="302"/>
      <c r="B71" s="302"/>
      <c r="C71" s="266"/>
      <c r="D71" s="257"/>
      <c r="E71" s="127" t="s">
        <v>83</v>
      </c>
      <c r="F71" s="28"/>
      <c r="G71" s="35"/>
      <c r="H71" s="50"/>
      <c r="I71" s="45">
        <f>IF(S97=Y98,I98,SUM(I100:I102))</f>
        <v>2</v>
      </c>
      <c r="J71" s="35"/>
      <c r="K71" s="127" t="s">
        <v>85</v>
      </c>
      <c r="L71" s="266"/>
      <c r="M71" s="35"/>
      <c r="N71" s="50"/>
      <c r="O71" s="45">
        <f>IF(S97=Y98,(L98+O98)*I98,(L100+O100)*I100+(L101+O101)*I101+(L102+O102)*I102)</f>
        <v>21</v>
      </c>
      <c r="Q71" s="306"/>
      <c r="R71" s="306"/>
      <c r="S71" s="303"/>
      <c r="T71" s="304"/>
      <c r="U71" s="304"/>
      <c r="V71" s="304"/>
      <c r="W71" s="304"/>
      <c r="X71" s="304"/>
      <c r="AE71" s="304"/>
      <c r="AF71" s="304"/>
    </row>
    <row r="72" spans="1:32" ht="18" customHeight="1">
      <c r="A72" s="302"/>
      <c r="B72" s="302"/>
      <c r="C72" s="117"/>
      <c r="D72" s="257"/>
      <c r="E72" s="127"/>
      <c r="F72" s="28"/>
      <c r="G72" s="35"/>
      <c r="H72" s="50"/>
      <c r="I72" s="45"/>
      <c r="J72" s="35"/>
      <c r="K72" s="127" t="s">
        <v>86</v>
      </c>
      <c r="L72" s="266"/>
      <c r="M72" s="35"/>
      <c r="N72" s="284" t="s">
        <v>22</v>
      </c>
      <c r="O72" s="286">
        <f>lohn1</f>
        <v>46</v>
      </c>
      <c r="Q72" s="306"/>
      <c r="R72" s="306"/>
      <c r="S72" s="303"/>
      <c r="T72" s="304"/>
      <c r="U72" s="304"/>
      <c r="V72" s="304"/>
      <c r="W72" s="304"/>
      <c r="X72" s="304"/>
      <c r="AE72" s="304"/>
      <c r="AF72" s="304"/>
    </row>
    <row r="73" spans="1:32" ht="18" customHeight="1">
      <c r="A73" s="317"/>
      <c r="B73" s="317"/>
      <c r="C73" s="38"/>
      <c r="D73" s="41"/>
      <c r="E73" s="127" t="s">
        <v>84</v>
      </c>
      <c r="F73" s="49"/>
      <c r="G73" s="250"/>
      <c r="H73" s="250"/>
      <c r="I73" s="45">
        <f>IF(S97=Y98,I99,SUM(I103:I105))</f>
        <v>1</v>
      </c>
      <c r="J73" s="250"/>
      <c r="K73" s="127" t="s">
        <v>85</v>
      </c>
      <c r="L73" s="266"/>
      <c r="M73" s="118"/>
      <c r="N73" s="28"/>
      <c r="O73" s="115">
        <f>IF(S97=Y98,(L99+O99)*I99,(L103+O103)*I103+(L104+O104)*I104+(L105+O105)*I105)</f>
        <v>10.5</v>
      </c>
      <c r="P73" s="115"/>
      <c r="Q73" s="315"/>
      <c r="R73" s="306"/>
      <c r="S73" s="316"/>
      <c r="T73" s="304"/>
      <c r="U73" s="304"/>
      <c r="V73" s="304"/>
      <c r="W73" s="304"/>
      <c r="X73" s="304"/>
      <c r="AE73" s="304"/>
      <c r="AF73" s="304"/>
    </row>
    <row r="74" spans="1:32" ht="18" customHeight="1">
      <c r="A74" s="317"/>
      <c r="B74" s="317"/>
      <c r="C74" s="38"/>
      <c r="D74" s="41"/>
      <c r="E74" s="127"/>
      <c r="F74" s="49"/>
      <c r="G74" s="250"/>
      <c r="H74" s="250"/>
      <c r="I74" s="45"/>
      <c r="J74" s="250"/>
      <c r="K74" s="127" t="s">
        <v>86</v>
      </c>
      <c r="L74" s="266"/>
      <c r="M74" s="118"/>
      <c r="N74" s="284" t="s">
        <v>22</v>
      </c>
      <c r="O74" s="288">
        <f>lohn2</f>
        <v>35</v>
      </c>
      <c r="P74" s="115"/>
      <c r="Q74" s="315"/>
      <c r="R74" s="306"/>
      <c r="S74" s="316"/>
      <c r="T74" s="304"/>
      <c r="U74" s="304"/>
      <c r="V74" s="304"/>
      <c r="W74" s="304"/>
      <c r="X74" s="304"/>
      <c r="AE74" s="304"/>
      <c r="AF74" s="304"/>
    </row>
    <row r="75" spans="1:32" ht="18" customHeight="1">
      <c r="A75" s="317"/>
      <c r="B75" s="317"/>
      <c r="C75" s="38"/>
      <c r="D75" s="41"/>
      <c r="E75" s="127" t="str">
        <f>"Direction et administration : "&amp;S111</f>
        <v>Direction et administration : Supplément sur les coûts salariaux bruts</v>
      </c>
      <c r="F75" s="49"/>
      <c r="G75" s="250"/>
      <c r="H75" s="250"/>
      <c r="I75" s="266"/>
      <c r="J75" s="250"/>
      <c r="K75" s="256"/>
      <c r="L75" s="256"/>
      <c r="M75" s="256"/>
      <c r="N75" s="256"/>
      <c r="O75" s="267">
        <f>IF(S111=J112,I112,IF(S111=J113,I113,I114))</f>
        <v>0.2</v>
      </c>
      <c r="P75" s="115"/>
      <c r="Q75" s="315"/>
      <c r="R75" s="306"/>
      <c r="S75" s="316"/>
      <c r="T75" s="304"/>
      <c r="U75" s="304"/>
      <c r="V75" s="304"/>
      <c r="W75" s="304"/>
      <c r="X75" s="304"/>
      <c r="AE75" s="304"/>
      <c r="AF75" s="304"/>
    </row>
    <row r="76" spans="1:32" ht="18" customHeight="1">
      <c r="A76" s="317"/>
      <c r="B76" s="317"/>
      <c r="C76" s="38"/>
      <c r="D76" s="41"/>
      <c r="E76" s="127" t="s">
        <v>116</v>
      </c>
      <c r="F76" s="49"/>
      <c r="G76" s="250"/>
      <c r="H76" s="250"/>
      <c r="I76" s="28"/>
      <c r="J76" s="250"/>
      <c r="K76" s="118"/>
      <c r="L76" s="118"/>
      <c r="M76" s="118"/>
      <c r="N76" s="28"/>
      <c r="O76" s="268">
        <f>sozial</f>
        <v>0.185</v>
      </c>
      <c r="P76" s="115"/>
      <c r="Q76" s="315"/>
      <c r="R76" s="306"/>
      <c r="S76" s="316"/>
      <c r="T76" s="304"/>
      <c r="U76" s="304"/>
      <c r="V76" s="304"/>
      <c r="W76" s="304"/>
      <c r="X76" s="304"/>
      <c r="AE76" s="304"/>
      <c r="AF76" s="304"/>
    </row>
    <row r="77" spans="1:32" ht="7.5" customHeight="1">
      <c r="A77" s="312"/>
      <c r="B77" s="312"/>
      <c r="C77" s="113"/>
      <c r="D77" s="36"/>
      <c r="E77" s="258"/>
      <c r="F77" s="259"/>
      <c r="G77" s="260"/>
      <c r="H77" s="260"/>
      <c r="I77" s="260"/>
      <c r="J77" s="260"/>
      <c r="K77" s="261"/>
      <c r="L77" s="262"/>
      <c r="M77" s="260"/>
      <c r="N77" s="260"/>
      <c r="O77" s="262"/>
      <c r="Q77" s="306"/>
      <c r="R77" s="306"/>
      <c r="S77" s="313"/>
      <c r="T77" s="304"/>
      <c r="U77" s="304"/>
      <c r="V77" s="304"/>
      <c r="W77" s="304"/>
      <c r="X77" s="304"/>
      <c r="AE77" s="304"/>
      <c r="AF77" s="304"/>
    </row>
    <row r="78" spans="1:32" ht="7.5" customHeight="1">
      <c r="A78" s="312"/>
      <c r="B78" s="312"/>
      <c r="C78" s="263"/>
      <c r="D78" s="257"/>
      <c r="E78" s="264"/>
      <c r="F78" s="28"/>
      <c r="G78" s="35"/>
      <c r="H78" s="35"/>
      <c r="I78" s="35"/>
      <c r="J78" s="35"/>
      <c r="K78" s="36"/>
      <c r="L78" s="265"/>
      <c r="M78" s="35"/>
      <c r="N78" s="35"/>
      <c r="O78" s="265"/>
      <c r="Q78" s="306"/>
      <c r="R78" s="306"/>
      <c r="S78" s="313"/>
      <c r="T78" s="304"/>
      <c r="U78" s="304"/>
      <c r="V78" s="304"/>
      <c r="W78" s="304"/>
      <c r="X78" s="304"/>
      <c r="AE78" s="304"/>
      <c r="AF78" s="304"/>
    </row>
    <row r="79" spans="1:32" ht="18" customHeight="1">
      <c r="A79" s="302"/>
      <c r="B79" s="302"/>
      <c r="C79" s="117" t="s">
        <v>87</v>
      </c>
      <c r="D79" s="257"/>
      <c r="E79" s="255" t="str">
        <f>K29&amp;" "&amp;Q29</f>
        <v>Coûts immobiliers forfait par jour</v>
      </c>
      <c r="F79" s="28"/>
      <c r="G79" s="35"/>
      <c r="H79" s="50"/>
      <c r="I79" s="25"/>
      <c r="J79" s="35"/>
      <c r="K79" s="25"/>
      <c r="L79" s="28"/>
      <c r="M79" s="35"/>
      <c r="N79" s="284" t="s">
        <v>22</v>
      </c>
      <c r="O79" s="286">
        <f>raum</f>
        <v>80</v>
      </c>
      <c r="Q79" s="306"/>
      <c r="R79" s="306"/>
      <c r="S79" s="303"/>
      <c r="T79" s="304"/>
      <c r="U79" s="304"/>
      <c r="V79" s="304"/>
      <c r="W79" s="304"/>
      <c r="X79" s="304"/>
      <c r="AE79" s="304"/>
      <c r="AF79" s="304"/>
    </row>
    <row r="80" spans="1:32" ht="18" customHeight="1">
      <c r="A80" s="302"/>
      <c r="B80" s="302"/>
      <c r="C80" s="117" t="s">
        <v>88</v>
      </c>
      <c r="D80" s="257"/>
      <c r="E80" s="255" t="str">
        <f>K30&amp;" "&amp;Q30</f>
        <v>Matériel et équipements par enfant et par jour</v>
      </c>
      <c r="F80" s="28"/>
      <c r="G80" s="35"/>
      <c r="H80" s="50"/>
      <c r="I80" s="25"/>
      <c r="J80" s="35"/>
      <c r="K80" s="255"/>
      <c r="L80" s="28"/>
      <c r="M80" s="35"/>
      <c r="N80" s="284" t="s">
        <v>22</v>
      </c>
      <c r="O80" s="286">
        <f>einrichtung</f>
        <v>6</v>
      </c>
      <c r="Q80" s="306"/>
      <c r="R80" s="306"/>
      <c r="S80" s="303"/>
      <c r="T80" s="304"/>
      <c r="U80" s="304"/>
      <c r="V80" s="304"/>
      <c r="W80" s="304"/>
      <c r="X80" s="304"/>
      <c r="AE80" s="304"/>
      <c r="AF80" s="304"/>
    </row>
    <row r="81" spans="1:32" ht="18" customHeight="1">
      <c r="A81" s="302"/>
      <c r="B81" s="302"/>
      <c r="C81" s="117"/>
      <c r="D81" s="257"/>
      <c r="E81" s="127" t="str">
        <f>K31&amp;" "&amp;Q31</f>
        <v>Excursions par personne et par jour</v>
      </c>
      <c r="F81" s="127"/>
      <c r="G81" s="35"/>
      <c r="H81" s="50"/>
      <c r="I81" s="25"/>
      <c r="J81" s="35"/>
      <c r="K81" s="28"/>
      <c r="L81" s="28"/>
      <c r="M81" s="28"/>
      <c r="N81" s="284" t="s">
        <v>22</v>
      </c>
      <c r="O81" s="286">
        <f>ausflug</f>
        <v>5</v>
      </c>
      <c r="Q81" s="306"/>
      <c r="R81" s="306"/>
      <c r="S81" s="303"/>
      <c r="T81" s="304"/>
      <c r="U81" s="304"/>
      <c r="V81" s="304"/>
      <c r="W81" s="304"/>
      <c r="X81" s="304"/>
      <c r="AE81" s="304"/>
      <c r="AF81" s="304"/>
    </row>
    <row r="82" spans="1:32" ht="18" customHeight="1">
      <c r="A82" s="302"/>
      <c r="B82" s="302"/>
      <c r="C82" s="117" t="s">
        <v>51</v>
      </c>
      <c r="D82" s="257"/>
      <c r="E82" s="255" t="str">
        <f>Q33</f>
        <v>par personne et par jour</v>
      </c>
      <c r="F82" s="28"/>
      <c r="G82" s="35"/>
      <c r="H82" s="50"/>
      <c r="I82" s="25"/>
      <c r="J82" s="35"/>
      <c r="K82" s="127"/>
      <c r="L82" s="127"/>
      <c r="M82" s="35"/>
      <c r="N82" s="284" t="s">
        <v>22</v>
      </c>
      <c r="O82" s="364">
        <f>verpflegung</f>
        <v>10</v>
      </c>
      <c r="Q82" s="306"/>
      <c r="R82" s="306"/>
      <c r="S82" s="303"/>
      <c r="T82" s="304"/>
      <c r="U82" s="304"/>
      <c r="V82" s="304"/>
      <c r="W82" s="304"/>
      <c r="X82" s="304"/>
      <c r="AE82" s="304"/>
      <c r="AF82" s="304"/>
    </row>
    <row r="83" spans="1:32" ht="8.25" customHeight="1">
      <c r="A83" s="312"/>
      <c r="B83" s="312"/>
      <c r="C83" s="113"/>
      <c r="D83" s="36"/>
      <c r="E83" s="258"/>
      <c r="F83" s="259"/>
      <c r="G83" s="260"/>
      <c r="H83" s="260"/>
      <c r="I83" s="260"/>
      <c r="J83" s="260"/>
      <c r="K83" s="261"/>
      <c r="L83" s="262"/>
      <c r="M83" s="260"/>
      <c r="N83" s="260"/>
      <c r="O83" s="262"/>
      <c r="Q83" s="306"/>
      <c r="R83" s="306"/>
      <c r="S83" s="313"/>
      <c r="T83" s="304"/>
      <c r="U83" s="304"/>
      <c r="V83" s="304"/>
      <c r="W83" s="304"/>
      <c r="X83" s="304"/>
      <c r="AE83" s="304"/>
      <c r="AF83" s="304"/>
    </row>
    <row r="84" spans="1:32" ht="8.25" customHeight="1">
      <c r="A84" s="312"/>
      <c r="B84" s="312"/>
      <c r="C84" s="263"/>
      <c r="D84" s="257"/>
      <c r="E84" s="264"/>
      <c r="F84" s="28"/>
      <c r="G84" s="35"/>
      <c r="H84" s="35"/>
      <c r="I84" s="35"/>
      <c r="J84" s="35"/>
      <c r="K84" s="36"/>
      <c r="L84" s="265"/>
      <c r="M84" s="35"/>
      <c r="N84" s="35"/>
      <c r="O84" s="265"/>
      <c r="Q84" s="306"/>
      <c r="R84" s="306"/>
      <c r="S84" s="313"/>
      <c r="T84" s="304"/>
      <c r="U84" s="304"/>
      <c r="V84" s="304"/>
      <c r="W84" s="304"/>
      <c r="X84" s="304"/>
      <c r="AE84" s="304"/>
      <c r="AF84" s="304"/>
    </row>
    <row r="85" spans="1:32" ht="18" customHeight="1">
      <c r="A85" s="302"/>
      <c r="B85" s="302"/>
      <c r="C85" s="117" t="s">
        <v>66</v>
      </c>
      <c r="D85" s="257"/>
      <c r="E85" s="255" t="s">
        <v>89</v>
      </c>
      <c r="F85" s="28"/>
      <c r="G85" s="35"/>
      <c r="H85" s="50"/>
      <c r="I85" s="28"/>
      <c r="J85" s="35"/>
      <c r="K85" s="127"/>
      <c r="L85" s="127"/>
      <c r="M85" s="35"/>
      <c r="N85" s="284" t="s">
        <v>22</v>
      </c>
      <c r="O85" s="286">
        <f>eltern_</f>
        <v>25</v>
      </c>
      <c r="Q85" s="306"/>
      <c r="R85" s="306"/>
      <c r="S85" s="303"/>
      <c r="T85" s="304"/>
      <c r="U85" s="304"/>
      <c r="V85" s="304"/>
      <c r="W85" s="304"/>
      <c r="X85" s="304"/>
      <c r="AE85" s="304"/>
      <c r="AF85" s="304"/>
    </row>
    <row r="86" spans="1:32" ht="18" customHeight="1">
      <c r="A86" s="302"/>
      <c r="B86" s="302"/>
      <c r="C86" s="117"/>
      <c r="D86" s="257"/>
      <c r="E86" s="127" t="s">
        <v>153</v>
      </c>
      <c r="F86" s="28"/>
      <c r="G86" s="35"/>
      <c r="H86" s="50"/>
      <c r="I86" s="45"/>
      <c r="J86" s="35"/>
      <c r="K86" s="50"/>
      <c r="L86" s="127"/>
      <c r="M86" s="35"/>
      <c r="N86" s="284" t="s">
        <v>22</v>
      </c>
      <c r="O86" s="286">
        <f>I53</f>
        <v>50</v>
      </c>
      <c r="Q86" s="306"/>
      <c r="R86" s="306"/>
      <c r="S86" s="303"/>
      <c r="T86" s="304"/>
      <c r="U86" s="304"/>
      <c r="V86" s="304"/>
      <c r="W86" s="304"/>
      <c r="X86" s="304"/>
      <c r="AE86" s="304"/>
      <c r="AF86" s="304"/>
    </row>
    <row r="87" spans="1:32" ht="18" customHeight="1">
      <c r="A87" s="302"/>
      <c r="B87" s="302"/>
      <c r="C87" s="263"/>
      <c r="D87" s="257"/>
      <c r="E87" s="272" t="s">
        <v>90</v>
      </c>
      <c r="F87" s="27"/>
      <c r="G87" s="72"/>
      <c r="H87" s="293"/>
      <c r="I87" s="272"/>
      <c r="J87" s="72"/>
      <c r="K87" s="293"/>
      <c r="L87" s="72"/>
      <c r="M87" s="72"/>
      <c r="N87" s="284" t="s">
        <v>22</v>
      </c>
      <c r="O87" s="294">
        <f>I52</f>
        <v>30</v>
      </c>
      <c r="Q87" s="306"/>
      <c r="R87" s="306"/>
      <c r="S87" s="303"/>
      <c r="T87" s="304"/>
      <c r="U87" s="304"/>
      <c r="V87" s="304"/>
      <c r="W87" s="304"/>
      <c r="X87" s="304"/>
      <c r="AE87" s="304"/>
      <c r="AF87" s="304"/>
    </row>
    <row r="88" spans="1:32" ht="18" customHeight="1">
      <c r="A88" s="302"/>
      <c r="B88" s="302"/>
      <c r="C88" s="263"/>
      <c r="D88" s="257"/>
      <c r="E88" s="272" t="s">
        <v>91</v>
      </c>
      <c r="F88" s="28"/>
      <c r="G88" s="35"/>
      <c r="H88" s="50"/>
      <c r="I88" s="266"/>
      <c r="J88" s="35"/>
      <c r="K88" s="50"/>
      <c r="L88" s="35"/>
      <c r="M88" s="35"/>
      <c r="N88" s="284" t="s">
        <v>22</v>
      </c>
      <c r="O88" s="287">
        <f>O54</f>
        <v>0</v>
      </c>
      <c r="P88" s="367" t="str">
        <f>IF(O54=O88,"","!")</f>
        <v/>
      </c>
      <c r="Q88" s="306"/>
      <c r="R88" s="306"/>
      <c r="S88" s="303"/>
      <c r="T88" s="304"/>
      <c r="U88" s="304"/>
      <c r="V88" s="304"/>
      <c r="W88" s="304"/>
      <c r="X88" s="304"/>
      <c r="AE88" s="304"/>
      <c r="AF88" s="304"/>
    </row>
    <row r="89" spans="1:32" ht="36" customHeight="1">
      <c r="A89" s="317"/>
      <c r="B89" s="317"/>
      <c r="C89" s="38"/>
      <c r="D89" s="41"/>
      <c r="E89" s="397"/>
      <c r="F89" s="397"/>
      <c r="G89" s="397"/>
      <c r="H89" s="397"/>
      <c r="I89" s="397"/>
      <c r="J89" s="397"/>
      <c r="K89" s="397"/>
      <c r="L89" s="397"/>
      <c r="M89" s="397"/>
      <c r="N89" s="28"/>
      <c r="O89" s="25"/>
      <c r="P89" s="115"/>
      <c r="Q89" s="315"/>
      <c r="R89" s="306"/>
      <c r="S89" s="316"/>
      <c r="T89" s="304"/>
      <c r="U89" s="304"/>
      <c r="V89" s="304"/>
      <c r="W89" s="304"/>
      <c r="X89" s="304"/>
      <c r="AE89" s="304"/>
      <c r="AF89" s="304"/>
    </row>
    <row r="90" spans="1:32" ht="24" customHeight="1">
      <c r="A90" s="317"/>
      <c r="B90" s="317"/>
      <c r="C90" s="318"/>
      <c r="D90" s="319"/>
      <c r="E90" s="320"/>
      <c r="F90" s="321"/>
      <c r="G90" s="322"/>
      <c r="H90" s="322"/>
      <c r="I90" s="322"/>
      <c r="J90" s="322"/>
      <c r="K90" s="314"/>
      <c r="L90" s="314"/>
      <c r="M90" s="314"/>
      <c r="N90" s="306"/>
      <c r="O90" s="323"/>
      <c r="P90" s="323"/>
      <c r="Q90" s="315"/>
      <c r="R90" s="306"/>
      <c r="S90" s="316"/>
      <c r="T90" s="304"/>
      <c r="U90" s="304"/>
      <c r="V90" s="304"/>
      <c r="W90" s="304"/>
      <c r="X90" s="304"/>
      <c r="AE90" s="304"/>
      <c r="AF90" s="304"/>
    </row>
    <row r="91" spans="1:32" s="22" customFormat="1" ht="24" customHeight="1">
      <c r="A91" s="317"/>
      <c r="B91" s="317"/>
      <c r="C91" s="318"/>
      <c r="D91" s="319"/>
      <c r="E91" s="320"/>
      <c r="F91" s="321"/>
      <c r="G91" s="322"/>
      <c r="H91" s="322"/>
      <c r="I91" s="322"/>
      <c r="J91" s="322"/>
      <c r="K91" s="314"/>
      <c r="L91" s="314"/>
      <c r="M91" s="314"/>
      <c r="N91" s="306"/>
      <c r="O91" s="323"/>
      <c r="P91" s="323"/>
      <c r="Q91" s="315"/>
      <c r="R91" s="306"/>
      <c r="S91" s="316"/>
      <c r="T91" s="304"/>
      <c r="U91" s="304"/>
      <c r="V91" s="304"/>
      <c r="W91" s="304"/>
      <c r="X91" s="304"/>
      <c r="Y91" s="25"/>
      <c r="Z91" s="25"/>
      <c r="AA91" s="25"/>
      <c r="AB91" s="25"/>
      <c r="AC91" s="25"/>
      <c r="AD91" s="25"/>
      <c r="AE91" s="304"/>
      <c r="AF91" s="304"/>
    </row>
    <row r="92" spans="1:32" s="22" customFormat="1" ht="26.1" customHeight="1">
      <c r="A92" s="184"/>
      <c r="B92" s="184"/>
      <c r="C92" s="185" t="s">
        <v>34</v>
      </c>
      <c r="D92" s="186"/>
      <c r="E92" s="187"/>
      <c r="F92" s="188"/>
      <c r="G92" s="188"/>
      <c r="H92" s="188"/>
      <c r="I92" s="189"/>
      <c r="J92" s="190"/>
      <c r="K92" s="191"/>
      <c r="L92" s="189"/>
      <c r="M92" s="192"/>
      <c r="N92" s="193"/>
      <c r="O92" s="189"/>
      <c r="P92" s="193"/>
      <c r="Q92" s="188"/>
      <c r="R92" s="188"/>
      <c r="S92" s="281" t="s">
        <v>92</v>
      </c>
      <c r="T92" s="194" t="s">
        <v>95</v>
      </c>
      <c r="U92" s="195"/>
      <c r="V92" s="194"/>
      <c r="W92" s="194"/>
      <c r="X92" s="194"/>
      <c r="Y92" s="242">
        <f>IF(S92=Y93,I93*5,tageprojahr)</f>
        <v>25</v>
      </c>
      <c r="Z92" s="243" t="s">
        <v>94</v>
      </c>
      <c r="AA92" s="195"/>
      <c r="AB92" s="195"/>
      <c r="AC92" s="195"/>
      <c r="AD92" s="195"/>
      <c r="AE92" s="195"/>
      <c r="AF92" s="195"/>
    </row>
    <row r="93" spans="1:32" s="22" customFormat="1" ht="24" customHeight="1">
      <c r="A93" s="317"/>
      <c r="B93" s="317"/>
      <c r="C93" s="166" t="str">
        <f>IF(S92=Y93,"ü","")</f>
        <v>ü</v>
      </c>
      <c r="D93" s="136" t="s">
        <v>96</v>
      </c>
      <c r="E93" s="137"/>
      <c r="F93" s="139"/>
      <c r="G93" s="144"/>
      <c r="H93" s="144"/>
      <c r="I93" s="138">
        <f>anzahlwochen</f>
        <v>5</v>
      </c>
      <c r="J93" s="144"/>
      <c r="K93" s="140"/>
      <c r="L93" s="138"/>
      <c r="M93" s="141"/>
      <c r="N93" s="142"/>
      <c r="O93" s="143"/>
      <c r="P93" s="141"/>
      <c r="Q93" s="144"/>
      <c r="R93" s="144"/>
      <c r="S93" s="316"/>
      <c r="T93" s="304"/>
      <c r="U93" s="304"/>
      <c r="V93" s="304"/>
      <c r="W93" s="304"/>
      <c r="X93" s="304"/>
      <c r="Y93" s="357" t="s">
        <v>92</v>
      </c>
      <c r="Z93" s="304"/>
      <c r="AA93" s="304"/>
      <c r="AB93" s="304"/>
      <c r="AC93" s="304"/>
      <c r="AD93" s="304"/>
      <c r="AE93" s="304"/>
      <c r="AF93" s="304"/>
    </row>
    <row r="94" spans="1:32" s="361" customFormat="1" ht="24" customHeight="1">
      <c r="A94" s="344"/>
      <c r="B94" s="344"/>
      <c r="C94" s="196" t="str">
        <f>IF(S92=Y93,"","ü")</f>
        <v/>
      </c>
      <c r="D94" s="401" t="s">
        <v>97</v>
      </c>
      <c r="E94" s="401"/>
      <c r="F94" s="401"/>
      <c r="G94" s="401"/>
      <c r="H94" s="401"/>
      <c r="I94" s="134">
        <f>5*anzahlwochen</f>
        <v>25</v>
      </c>
      <c r="J94" s="197"/>
      <c r="K94" s="197"/>
      <c r="L94" s="197"/>
      <c r="M94" s="197"/>
      <c r="N94" s="197"/>
      <c r="O94" s="197"/>
      <c r="P94" s="197"/>
      <c r="Q94" s="197"/>
      <c r="R94" s="197"/>
      <c r="S94" s="360"/>
      <c r="T94" s="360"/>
      <c r="U94" s="360"/>
      <c r="V94" s="360"/>
      <c r="W94" s="360"/>
      <c r="X94" s="360"/>
      <c r="Y94" s="357" t="s">
        <v>93</v>
      </c>
      <c r="Z94" s="360"/>
      <c r="AA94" s="360"/>
      <c r="AB94" s="360"/>
      <c r="AC94" s="360"/>
      <c r="AD94" s="360"/>
      <c r="AE94" s="360"/>
      <c r="AF94" s="360"/>
    </row>
    <row r="95" spans="1:32" s="22" customFormat="1" ht="12.95" customHeight="1">
      <c r="A95" s="345"/>
      <c r="B95" s="345"/>
      <c r="C95" s="198"/>
      <c r="D95" s="401"/>
      <c r="E95" s="401"/>
      <c r="F95" s="401"/>
      <c r="G95" s="401"/>
      <c r="H95" s="401"/>
      <c r="I95" s="199"/>
      <c r="J95" s="199"/>
      <c r="K95" s="53"/>
      <c r="L95" s="53"/>
      <c r="M95" s="53"/>
      <c r="N95" s="200"/>
      <c r="O95" s="201"/>
      <c r="P95" s="201"/>
      <c r="Q95" s="202"/>
      <c r="R95" s="200"/>
      <c r="S95" s="316"/>
      <c r="T95" s="304"/>
      <c r="U95" s="304"/>
      <c r="V95" s="304"/>
      <c r="W95" s="304"/>
      <c r="X95" s="304"/>
      <c r="Y95" s="304"/>
      <c r="Z95" s="304"/>
      <c r="AA95" s="304"/>
      <c r="AB95" s="304"/>
      <c r="AC95" s="304"/>
      <c r="AD95" s="304"/>
      <c r="AE95" s="304"/>
      <c r="AF95" s="304"/>
    </row>
    <row r="96" spans="1:32" s="22" customFormat="1">
      <c r="A96" s="306"/>
      <c r="B96" s="306"/>
      <c r="C96" s="334"/>
      <c r="D96" s="332"/>
      <c r="E96" s="332"/>
      <c r="F96" s="306"/>
      <c r="G96" s="306"/>
      <c r="H96" s="306"/>
      <c r="I96" s="306"/>
      <c r="J96" s="306"/>
      <c r="K96" s="306"/>
      <c r="L96" s="306"/>
      <c r="M96" s="306"/>
      <c r="N96" s="306"/>
      <c r="O96" s="306"/>
      <c r="P96" s="306"/>
      <c r="Q96" s="306"/>
      <c r="R96" s="306"/>
      <c r="S96" s="304"/>
      <c r="T96" s="304"/>
      <c r="U96" s="304"/>
      <c r="V96" s="304"/>
      <c r="W96" s="304"/>
      <c r="X96" s="304"/>
      <c r="Y96" s="304"/>
      <c r="Z96" s="304"/>
      <c r="AA96" s="304"/>
      <c r="AB96" s="304"/>
      <c r="AC96" s="304"/>
      <c r="AD96" s="304"/>
      <c r="AE96" s="304"/>
      <c r="AF96" s="304"/>
    </row>
    <row r="97" spans="1:32" s="22" customFormat="1" ht="32.25" customHeight="1">
      <c r="A97" s="168"/>
      <c r="B97" s="168"/>
      <c r="C97" s="169" t="s">
        <v>98</v>
      </c>
      <c r="D97" s="170"/>
      <c r="E97" s="171"/>
      <c r="F97" s="172"/>
      <c r="G97" s="172"/>
      <c r="H97" s="172"/>
      <c r="I97" s="173" t="s">
        <v>99</v>
      </c>
      <c r="J97" s="174"/>
      <c r="K97" s="175"/>
      <c r="L97" s="409" t="s">
        <v>101</v>
      </c>
      <c r="M97" s="409"/>
      <c r="N97" s="409"/>
      <c r="O97" s="409" t="s">
        <v>100</v>
      </c>
      <c r="P97" s="409"/>
      <c r="Q97" s="409"/>
      <c r="R97" s="409"/>
      <c r="S97" s="407" t="s">
        <v>103</v>
      </c>
      <c r="T97" s="407"/>
      <c r="U97" s="407"/>
      <c r="V97" s="407"/>
      <c r="W97" s="178" t="s">
        <v>95</v>
      </c>
      <c r="X97" s="179"/>
      <c r="Y97" s="244">
        <f>IF(S97=Y99,SUMPRODUCT(I100:I102,L100:L102+O100:O102),SUMPRODUCT(I98,L98+O98))</f>
        <v>21</v>
      </c>
      <c r="Z97" s="244">
        <f>IF(S97=Y99,SUMPRODUCT(I103:I105,L103:L105+O103:O105),SUMPRODUCT(I99,L99+O99))</f>
        <v>10.5</v>
      </c>
      <c r="AA97" s="244">
        <f>IF(S97=Y99,SUM(I100:I105),SUM(I98:I99))</f>
        <v>3</v>
      </c>
      <c r="AB97" s="179"/>
      <c r="AC97" s="179"/>
      <c r="AD97" s="179"/>
      <c r="AE97" s="179"/>
      <c r="AF97" s="179"/>
    </row>
    <row r="98" spans="1:32" s="22" customFormat="1" ht="24" customHeight="1">
      <c r="A98" s="317"/>
      <c r="B98" s="317"/>
      <c r="C98" s="166" t="str">
        <f>IF(S97=Y99,"","ü")</f>
        <v>ü</v>
      </c>
      <c r="D98" s="402" t="s">
        <v>103</v>
      </c>
      <c r="E98" s="402"/>
      <c r="F98" s="139" t="s">
        <v>106</v>
      </c>
      <c r="G98" s="144"/>
      <c r="H98" s="144"/>
      <c r="I98" s="138">
        <f>personmit</f>
        <v>2</v>
      </c>
      <c r="J98" s="144"/>
      <c r="K98" s="140"/>
      <c r="L98" s="138">
        <f>stunden</f>
        <v>10</v>
      </c>
      <c r="M98" s="141" t="s">
        <v>102</v>
      </c>
      <c r="N98" s="142"/>
      <c r="O98" s="143">
        <v>0.5</v>
      </c>
      <c r="P98" s="141" t="s">
        <v>102</v>
      </c>
      <c r="Q98" s="144"/>
      <c r="R98" s="144"/>
      <c r="S98" s="304"/>
      <c r="T98" s="304"/>
      <c r="U98" s="304"/>
      <c r="V98" s="304"/>
      <c r="W98" s="304"/>
      <c r="X98" s="304"/>
      <c r="Y98" s="357" t="s">
        <v>103</v>
      </c>
      <c r="Z98" s="304"/>
      <c r="AA98" s="304"/>
      <c r="AB98" s="304"/>
      <c r="AC98" s="304"/>
      <c r="AD98" s="304"/>
      <c r="AE98" s="304"/>
      <c r="AF98" s="304"/>
    </row>
    <row r="99" spans="1:32" s="22" customFormat="1" ht="24" customHeight="1">
      <c r="A99" s="317"/>
      <c r="B99" s="317"/>
      <c r="C99" s="135"/>
      <c r="D99" s="402"/>
      <c r="E99" s="402"/>
      <c r="F99" s="139" t="s">
        <v>107</v>
      </c>
      <c r="G99" s="144"/>
      <c r="H99" s="144"/>
      <c r="I99" s="138">
        <f>personohne</f>
        <v>1</v>
      </c>
      <c r="J99" s="144"/>
      <c r="K99" s="140"/>
      <c r="L99" s="138">
        <f>stunden</f>
        <v>10</v>
      </c>
      <c r="M99" s="141" t="s">
        <v>102</v>
      </c>
      <c r="N99" s="142"/>
      <c r="O99" s="143">
        <v>0.5</v>
      </c>
      <c r="P99" s="141" t="s">
        <v>102</v>
      </c>
      <c r="Q99" s="144"/>
      <c r="R99" s="144"/>
      <c r="S99" s="304"/>
      <c r="T99" s="304"/>
      <c r="U99" s="304"/>
      <c r="V99" s="304"/>
      <c r="W99" s="304"/>
      <c r="X99" s="304"/>
      <c r="Y99" s="357" t="s">
        <v>104</v>
      </c>
      <c r="Z99" s="304"/>
      <c r="AA99" s="304"/>
      <c r="AB99" s="304"/>
      <c r="AC99" s="304"/>
      <c r="AD99" s="304"/>
      <c r="AE99" s="304"/>
      <c r="AF99" s="304"/>
    </row>
    <row r="100" spans="1:32" s="22" customFormat="1" ht="24" customHeight="1">
      <c r="A100" s="317"/>
      <c r="B100" s="317"/>
      <c r="C100" s="165" t="str">
        <f>IF(S97=Y99,"ü","")</f>
        <v/>
      </c>
      <c r="D100" s="167" t="s">
        <v>104</v>
      </c>
      <c r="E100" s="148"/>
      <c r="F100" s="90" t="s">
        <v>106</v>
      </c>
      <c r="G100" s="149"/>
      <c r="H100" s="149"/>
      <c r="I100" s="382">
        <v>2</v>
      </c>
      <c r="J100" s="149"/>
      <c r="K100" s="149"/>
      <c r="L100" s="385">
        <v>10</v>
      </c>
      <c r="M100" s="163" t="s">
        <v>102</v>
      </c>
      <c r="N100" s="30"/>
      <c r="O100" s="385">
        <v>0.5</v>
      </c>
      <c r="P100" s="163" t="s">
        <v>102</v>
      </c>
      <c r="Q100" s="149"/>
      <c r="R100" s="149"/>
      <c r="S100" s="304"/>
      <c r="T100" s="304"/>
      <c r="U100" s="304"/>
      <c r="V100" s="304"/>
      <c r="W100" s="304"/>
      <c r="X100" s="304"/>
      <c r="Y100" s="304"/>
      <c r="Z100" s="304"/>
      <c r="AA100" s="304"/>
      <c r="AB100" s="304"/>
      <c r="AC100" s="304"/>
      <c r="AD100" s="304"/>
      <c r="AE100" s="304"/>
      <c r="AF100" s="304"/>
    </row>
    <row r="101" spans="1:32" s="22" customFormat="1" ht="24" customHeight="1">
      <c r="A101" s="317"/>
      <c r="B101" s="317"/>
      <c r="C101" s="150"/>
      <c r="D101" s="151"/>
      <c r="E101" s="148"/>
      <c r="F101" s="90"/>
      <c r="G101" s="149"/>
      <c r="H101" s="149"/>
      <c r="I101" s="383"/>
      <c r="J101" s="149"/>
      <c r="K101" s="149"/>
      <c r="L101" s="386"/>
      <c r="M101" s="163" t="s">
        <v>102</v>
      </c>
      <c r="N101" s="30"/>
      <c r="O101" s="386"/>
      <c r="P101" s="163" t="s">
        <v>102</v>
      </c>
      <c r="Q101" s="149"/>
      <c r="R101" s="149"/>
      <c r="S101" s="316"/>
      <c r="T101" s="304"/>
      <c r="U101" s="304"/>
      <c r="V101" s="304"/>
      <c r="W101" s="304"/>
      <c r="X101" s="304"/>
      <c r="Y101" s="304"/>
      <c r="Z101" s="304"/>
      <c r="AA101" s="304"/>
      <c r="AB101" s="304"/>
      <c r="AC101" s="304"/>
      <c r="AD101" s="304"/>
      <c r="AE101" s="304"/>
      <c r="AF101" s="304"/>
    </row>
    <row r="102" spans="1:32" s="22" customFormat="1" ht="24" customHeight="1">
      <c r="A102" s="317"/>
      <c r="B102" s="317"/>
      <c r="C102" s="150"/>
      <c r="D102" s="151"/>
      <c r="E102" s="148"/>
      <c r="F102" s="90"/>
      <c r="G102" s="149"/>
      <c r="H102" s="149"/>
      <c r="I102" s="384"/>
      <c r="J102" s="149"/>
      <c r="K102" s="149"/>
      <c r="L102" s="387"/>
      <c r="M102" s="163" t="s">
        <v>102</v>
      </c>
      <c r="N102" s="30"/>
      <c r="O102" s="387"/>
      <c r="P102" s="163" t="s">
        <v>102</v>
      </c>
      <c r="Q102" s="149"/>
      <c r="R102" s="149"/>
      <c r="S102" s="316"/>
      <c r="T102" s="304"/>
      <c r="U102" s="304"/>
      <c r="V102" s="304"/>
      <c r="W102" s="304"/>
      <c r="X102" s="304"/>
      <c r="Y102" s="358"/>
      <c r="Z102" s="304"/>
      <c r="AA102" s="304"/>
      <c r="AB102" s="304"/>
      <c r="AC102" s="304"/>
      <c r="AD102" s="304"/>
      <c r="AE102" s="304"/>
      <c r="AF102" s="304"/>
    </row>
    <row r="103" spans="1:32" s="22" customFormat="1" ht="24" customHeight="1">
      <c r="A103" s="317"/>
      <c r="B103" s="317"/>
      <c r="C103" s="150"/>
      <c r="D103" s="151"/>
      <c r="E103" s="148"/>
      <c r="F103" s="90" t="s">
        <v>105</v>
      </c>
      <c r="G103" s="149"/>
      <c r="H103" s="149"/>
      <c r="I103" s="382">
        <v>1</v>
      </c>
      <c r="J103" s="149"/>
      <c r="K103" s="149"/>
      <c r="L103" s="385">
        <v>10</v>
      </c>
      <c r="M103" s="163" t="s">
        <v>102</v>
      </c>
      <c r="N103" s="30"/>
      <c r="O103" s="385">
        <v>0.5</v>
      </c>
      <c r="P103" s="163" t="s">
        <v>102</v>
      </c>
      <c r="Q103" s="149"/>
      <c r="R103" s="149"/>
      <c r="S103" s="316"/>
      <c r="T103" s="304"/>
      <c r="U103" s="304"/>
      <c r="V103" s="304"/>
      <c r="W103" s="304"/>
      <c r="X103" s="304"/>
      <c r="Y103" s="304"/>
      <c r="Z103" s="304"/>
      <c r="AA103" s="304"/>
      <c r="AB103" s="304"/>
      <c r="AC103" s="304"/>
      <c r="AD103" s="304"/>
      <c r="AE103" s="304"/>
      <c r="AF103" s="304"/>
    </row>
    <row r="104" spans="1:32" s="22" customFormat="1" ht="24" customHeight="1">
      <c r="A104" s="317"/>
      <c r="B104" s="317"/>
      <c r="C104" s="150"/>
      <c r="D104" s="151"/>
      <c r="E104" s="148"/>
      <c r="F104" s="149"/>
      <c r="G104" s="149"/>
      <c r="H104" s="149"/>
      <c r="I104" s="383"/>
      <c r="J104" s="90"/>
      <c r="K104" s="149"/>
      <c r="L104" s="386"/>
      <c r="M104" s="163" t="s">
        <v>102</v>
      </c>
      <c r="N104" s="30"/>
      <c r="O104" s="386"/>
      <c r="P104" s="163" t="s">
        <v>102</v>
      </c>
      <c r="Q104" s="149"/>
      <c r="R104" s="149"/>
      <c r="S104" s="316"/>
      <c r="T104" s="304"/>
      <c r="U104" s="304"/>
      <c r="V104" s="304"/>
      <c r="W104" s="304"/>
      <c r="X104" s="304"/>
      <c r="Y104" s="304"/>
      <c r="Z104" s="304"/>
      <c r="AA104" s="304"/>
      <c r="AB104" s="304"/>
      <c r="AC104" s="304"/>
      <c r="AD104" s="304"/>
      <c r="AE104" s="304"/>
      <c r="AF104" s="304"/>
    </row>
    <row r="105" spans="1:32" s="22" customFormat="1" ht="24" customHeight="1">
      <c r="A105" s="317"/>
      <c r="B105" s="317"/>
      <c r="C105" s="150"/>
      <c r="D105" s="151"/>
      <c r="E105" s="148"/>
      <c r="F105" s="149"/>
      <c r="G105" s="149"/>
      <c r="H105" s="149"/>
      <c r="I105" s="384"/>
      <c r="J105" s="90"/>
      <c r="K105" s="149"/>
      <c r="L105" s="387"/>
      <c r="M105" s="163" t="s">
        <v>102</v>
      </c>
      <c r="N105" s="30"/>
      <c r="O105" s="387"/>
      <c r="P105" s="163" t="s">
        <v>102</v>
      </c>
      <c r="Q105" s="149"/>
      <c r="R105" s="149"/>
      <c r="S105" s="316"/>
      <c r="T105" s="304"/>
      <c r="U105" s="304"/>
      <c r="V105" s="304"/>
      <c r="W105" s="304"/>
      <c r="X105" s="304"/>
      <c r="Y105" s="304"/>
      <c r="Z105" s="304"/>
      <c r="AA105" s="304"/>
      <c r="AB105" s="304"/>
      <c r="AC105" s="304"/>
      <c r="AD105" s="304"/>
      <c r="AE105" s="304"/>
      <c r="AF105" s="304"/>
    </row>
    <row r="106" spans="1:32" s="22" customFormat="1" ht="6.95" customHeight="1">
      <c r="A106" s="317"/>
      <c r="B106" s="317"/>
      <c r="C106" s="150"/>
      <c r="D106" s="151"/>
      <c r="E106" s="148"/>
      <c r="F106" s="149"/>
      <c r="G106" s="149"/>
      <c r="H106" s="149"/>
      <c r="I106" s="30"/>
      <c r="J106" s="90"/>
      <c r="K106" s="149"/>
      <c r="L106" s="30"/>
      <c r="M106" s="163"/>
      <c r="N106" s="30"/>
      <c r="O106" s="164"/>
      <c r="P106" s="163"/>
      <c r="Q106" s="149"/>
      <c r="R106" s="149"/>
      <c r="S106" s="316"/>
      <c r="T106" s="304"/>
      <c r="U106" s="304"/>
      <c r="V106" s="304"/>
      <c r="W106" s="304"/>
      <c r="X106" s="304"/>
      <c r="Y106" s="304"/>
      <c r="Z106" s="304"/>
      <c r="AA106" s="304"/>
      <c r="AB106" s="304"/>
      <c r="AC106" s="304"/>
      <c r="AD106" s="304"/>
      <c r="AE106" s="304"/>
      <c r="AF106" s="304"/>
    </row>
    <row r="107" spans="1:32" s="22" customFormat="1" ht="24" customHeight="1">
      <c r="A107" s="317"/>
      <c r="B107" s="317"/>
      <c r="C107" s="150"/>
      <c r="D107" s="152"/>
      <c r="E107" s="148"/>
      <c r="F107" s="153" t="s">
        <v>81</v>
      </c>
      <c r="G107" s="149"/>
      <c r="H107" s="149"/>
      <c r="I107" s="157" t="str">
        <f>Y107&amp;" "&amp;Z107&amp;" "&amp;AA107&amp;" "&amp;AB107</f>
        <v>10 heures sur 10 sont couvertes par le coefficient d'encadrement.</v>
      </c>
      <c r="J107" s="158"/>
      <c r="K107" s="254"/>
      <c r="L107" s="254"/>
      <c r="M107" s="156"/>
      <c r="N107" s="30"/>
      <c r="O107" s="30"/>
      <c r="P107" s="30"/>
      <c r="Q107" s="149"/>
      <c r="R107" s="149"/>
      <c r="S107" s="316"/>
      <c r="T107" s="304"/>
      <c r="U107" s="304"/>
      <c r="V107" s="304"/>
      <c r="W107" s="304"/>
      <c r="X107" s="304"/>
      <c r="Y107" s="359">
        <f>MIN(ROUND(SUMPRODUCT(I100:I105,L100:L105)*schlüssel/kinder_,1),stunden)</f>
        <v>10</v>
      </c>
      <c r="Z107" s="359" t="s">
        <v>108</v>
      </c>
      <c r="AA107" s="359">
        <f>stunden</f>
        <v>10</v>
      </c>
      <c r="AB107" s="357" t="s">
        <v>109</v>
      </c>
      <c r="AC107" s="304"/>
      <c r="AD107" s="304"/>
      <c r="AE107" s="304"/>
      <c r="AF107" s="304"/>
    </row>
    <row r="108" spans="1:32" s="22" customFormat="1" ht="24" customHeight="1">
      <c r="A108" s="317"/>
      <c r="B108" s="317"/>
      <c r="C108" s="150"/>
      <c r="D108" s="152"/>
      <c r="E108" s="154"/>
      <c r="F108" s="153" t="s">
        <v>42</v>
      </c>
      <c r="G108" s="149"/>
      <c r="H108" s="149"/>
      <c r="I108" s="160" t="str">
        <f>IF(OR(SUM(L100:L105)=0,SUM(I100:I105)=0),"",IF(AND(SUMPRODUCT(I100:I102,L100:L102)/SUMPRODUCT(I100:I105,L100:L105)&lt;ausbildung,SUMPRODUCT(I100:I102,L100:L102)&lt;personmit*stunden),"","ü"))</f>
        <v>ü</v>
      </c>
      <c r="J108" s="400" t="str">
        <f>IF(OR(SUM(L100:L105)=0,SUM(I100:I105)=0),"",IF(AND(SUMPRODUCT(I100:I102,L100:L102)/SUMPRODUCT(I100:I105,L100:L105)&lt;ausbildung,SUMPRODUCT(I100:I102,L100:L102)&lt;personmit*stunden),Y108,""))</f>
        <v/>
      </c>
      <c r="K108" s="400"/>
      <c r="L108" s="400"/>
      <c r="M108" s="400"/>
      <c r="N108" s="400"/>
      <c r="O108" s="400"/>
      <c r="P108" s="400"/>
      <c r="Q108" s="400"/>
      <c r="R108" s="400"/>
      <c r="S108" s="316"/>
      <c r="T108" s="304"/>
      <c r="U108" s="304"/>
      <c r="V108" s="304"/>
      <c r="W108" s="304"/>
      <c r="X108" s="304"/>
      <c r="Y108" s="357" t="s">
        <v>110</v>
      </c>
      <c r="Z108" s="304"/>
      <c r="AA108" s="304"/>
      <c r="AB108" s="304"/>
      <c r="AC108" s="304"/>
      <c r="AD108" s="304"/>
      <c r="AE108" s="304"/>
      <c r="AF108" s="304"/>
    </row>
    <row r="109" spans="1:32" s="22" customFormat="1" ht="14.1" customHeight="1">
      <c r="A109" s="345"/>
      <c r="B109" s="345"/>
      <c r="C109" s="150"/>
      <c r="D109" s="151"/>
      <c r="E109" s="148"/>
      <c r="F109" s="155"/>
      <c r="G109" s="156"/>
      <c r="H109" s="156"/>
      <c r="I109" s="156"/>
      <c r="J109" s="400"/>
      <c r="K109" s="400"/>
      <c r="L109" s="400"/>
      <c r="M109" s="400"/>
      <c r="N109" s="400"/>
      <c r="O109" s="400"/>
      <c r="P109" s="400"/>
      <c r="Q109" s="400"/>
      <c r="R109" s="400"/>
      <c r="S109" s="316"/>
      <c r="T109" s="304"/>
      <c r="U109" s="304"/>
      <c r="V109" s="304"/>
      <c r="W109" s="304"/>
      <c r="X109" s="304"/>
      <c r="Y109" s="304"/>
      <c r="Z109" s="304"/>
      <c r="AA109" s="304"/>
      <c r="AB109" s="304"/>
      <c r="AC109" s="304"/>
      <c r="AD109" s="304"/>
      <c r="AE109" s="304"/>
      <c r="AF109" s="304"/>
    </row>
    <row r="110" spans="1:32" s="22" customFormat="1">
      <c r="A110" s="306"/>
      <c r="B110" s="306"/>
      <c r="C110" s="334"/>
      <c r="D110" s="332"/>
      <c r="E110" s="332"/>
      <c r="F110" s="306"/>
      <c r="G110" s="306"/>
      <c r="H110" s="306"/>
      <c r="I110" s="306"/>
      <c r="J110" s="306"/>
      <c r="K110" s="306"/>
      <c r="L110" s="306"/>
      <c r="M110" s="306"/>
      <c r="N110" s="306"/>
      <c r="O110" s="306"/>
      <c r="P110" s="306"/>
      <c r="Q110" s="306"/>
      <c r="R110" s="306"/>
      <c r="S110" s="304"/>
      <c r="T110" s="304"/>
      <c r="U110" s="304"/>
      <c r="V110" s="304"/>
      <c r="W110" s="304"/>
      <c r="X110" s="304"/>
      <c r="Y110" s="304"/>
      <c r="Z110" s="304"/>
      <c r="AA110" s="304"/>
      <c r="AB110" s="304"/>
      <c r="AC110" s="304"/>
      <c r="AD110" s="304"/>
      <c r="AE110" s="304"/>
      <c r="AF110" s="304"/>
    </row>
    <row r="111" spans="1:32" s="22" customFormat="1" ht="26.1" customHeight="1">
      <c r="A111" s="168"/>
      <c r="B111" s="168"/>
      <c r="C111" s="169" t="s">
        <v>115</v>
      </c>
      <c r="D111" s="170"/>
      <c r="E111" s="171"/>
      <c r="F111" s="172"/>
      <c r="G111" s="172"/>
      <c r="H111" s="172"/>
      <c r="I111" s="173"/>
      <c r="J111" s="174"/>
      <c r="K111" s="175"/>
      <c r="L111" s="173"/>
      <c r="M111" s="176"/>
      <c r="N111" s="177"/>
      <c r="O111" s="173"/>
      <c r="P111" s="177"/>
      <c r="Q111" s="172"/>
      <c r="R111" s="172"/>
      <c r="S111" s="407" t="s">
        <v>111</v>
      </c>
      <c r="T111" s="407"/>
      <c r="U111" s="407"/>
      <c r="V111" s="407"/>
      <c r="W111" s="407"/>
      <c r="X111" s="178" t="s">
        <v>95</v>
      </c>
      <c r="Y111" s="245">
        <f>IF(S111=J112,I112,0)</f>
        <v>0.2</v>
      </c>
      <c r="Z111" s="244">
        <f>IF(S111=J112,0,IF(S111=J113,I113*ROUNDUP(tage_/5,0),I114))</f>
        <v>0</v>
      </c>
      <c r="AA111" s="248" t="s">
        <v>27</v>
      </c>
      <c r="AB111" s="179"/>
      <c r="AC111" s="179"/>
      <c r="AD111" s="179"/>
      <c r="AE111" s="179"/>
      <c r="AF111" s="179"/>
    </row>
    <row r="112" spans="1:32" s="22" customFormat="1" ht="24" customHeight="1">
      <c r="A112" s="317"/>
      <c r="B112" s="317"/>
      <c r="C112" s="165" t="str">
        <f>IF(S111=J112,"ü","")</f>
        <v>ü</v>
      </c>
      <c r="D112" s="90"/>
      <c r="E112" s="148"/>
      <c r="F112" s="155"/>
      <c r="G112" s="156"/>
      <c r="H112" s="156"/>
      <c r="I112" s="380">
        <v>0.2</v>
      </c>
      <c r="J112" s="180" t="s">
        <v>111</v>
      </c>
      <c r="K112" s="30"/>
      <c r="L112" s="30"/>
      <c r="M112" s="30"/>
      <c r="N112" s="149"/>
      <c r="O112" s="161"/>
      <c r="P112" s="161"/>
      <c r="Q112" s="162"/>
      <c r="R112" s="149"/>
      <c r="S112" s="304"/>
      <c r="T112" s="304"/>
      <c r="U112" s="304"/>
      <c r="V112" s="304"/>
      <c r="W112" s="304"/>
      <c r="X112" s="304"/>
      <c r="Y112" s="304"/>
      <c r="Z112" s="304"/>
      <c r="AA112" s="304"/>
      <c r="AB112" s="304"/>
      <c r="AC112" s="304"/>
      <c r="AD112" s="304"/>
      <c r="AE112" s="304"/>
      <c r="AF112" s="304"/>
    </row>
    <row r="113" spans="1:32" s="22" customFormat="1" ht="24" customHeight="1">
      <c r="A113" s="317"/>
      <c r="B113" s="317"/>
      <c r="C113" s="165" t="str">
        <f>IF(S111=J113,"ü","")</f>
        <v/>
      </c>
      <c r="D113" s="151"/>
      <c r="E113" s="148"/>
      <c r="F113" s="155"/>
      <c r="G113" s="156"/>
      <c r="H113" s="183" t="s">
        <v>114</v>
      </c>
      <c r="I113" s="381"/>
      <c r="J113" s="181" t="s">
        <v>112</v>
      </c>
      <c r="K113" s="30"/>
      <c r="L113" s="30"/>
      <c r="M113" s="30"/>
      <c r="N113" s="149"/>
      <c r="O113" s="161"/>
      <c r="P113" s="161"/>
      <c r="Q113" s="162"/>
      <c r="R113" s="149"/>
      <c r="S113" s="316"/>
      <c r="T113" s="304"/>
      <c r="U113" s="304"/>
      <c r="V113" s="304"/>
      <c r="W113" s="304"/>
      <c r="X113" s="304"/>
      <c r="Y113" s="304"/>
      <c r="Z113" s="304"/>
      <c r="AA113" s="304"/>
      <c r="AB113" s="304"/>
      <c r="AC113" s="304"/>
      <c r="AD113" s="304"/>
      <c r="AE113" s="304"/>
      <c r="AF113" s="304"/>
    </row>
    <row r="114" spans="1:32" s="22" customFormat="1" ht="24" customHeight="1">
      <c r="A114" s="317"/>
      <c r="B114" s="317"/>
      <c r="C114" s="165" t="str">
        <f>IF(S111=J114,"ü","")</f>
        <v/>
      </c>
      <c r="D114" s="151"/>
      <c r="E114" s="148"/>
      <c r="F114" s="155"/>
      <c r="G114" s="156"/>
      <c r="H114" s="183" t="s">
        <v>114</v>
      </c>
      <c r="I114" s="381">
        <v>30</v>
      </c>
      <c r="J114" s="181" t="s">
        <v>113</v>
      </c>
      <c r="K114" s="30"/>
      <c r="L114" s="30"/>
      <c r="M114" s="30"/>
      <c r="N114" s="149"/>
      <c r="O114" s="161"/>
      <c r="P114" s="161"/>
      <c r="Q114" s="162"/>
      <c r="R114" s="149"/>
      <c r="S114" s="316"/>
      <c r="T114" s="304"/>
      <c r="U114" s="304"/>
      <c r="V114" s="304"/>
      <c r="W114" s="304"/>
      <c r="X114" s="304"/>
      <c r="Y114" s="304"/>
      <c r="Z114" s="304"/>
      <c r="AA114" s="304"/>
      <c r="AB114" s="304"/>
      <c r="AC114" s="304"/>
      <c r="AD114" s="304"/>
      <c r="AE114" s="304"/>
      <c r="AF114" s="304"/>
    </row>
    <row r="115" spans="1:32" s="22" customFormat="1" ht="14.1" customHeight="1">
      <c r="A115" s="345"/>
      <c r="B115" s="345"/>
      <c r="C115" s="150"/>
      <c r="D115" s="151"/>
      <c r="E115" s="148"/>
      <c r="F115" s="155"/>
      <c r="G115" s="156"/>
      <c r="H115" s="156"/>
      <c r="I115" s="156"/>
      <c r="J115" s="156"/>
      <c r="K115" s="30"/>
      <c r="L115" s="30"/>
      <c r="M115" s="30"/>
      <c r="N115" s="149"/>
      <c r="O115" s="161"/>
      <c r="P115" s="161"/>
      <c r="Q115" s="162"/>
      <c r="R115" s="149"/>
      <c r="S115" s="316"/>
      <c r="T115" s="304"/>
      <c r="U115" s="304"/>
      <c r="V115" s="304"/>
      <c r="W115" s="304"/>
      <c r="X115" s="304"/>
      <c r="Y115" s="304"/>
      <c r="Z115" s="304"/>
      <c r="AA115" s="304"/>
      <c r="AB115" s="304"/>
      <c r="AC115" s="304"/>
      <c r="AD115" s="304"/>
      <c r="AE115" s="304"/>
      <c r="AF115" s="304"/>
    </row>
    <row r="116" spans="1:32" s="22" customFormat="1" ht="13.5">
      <c r="A116" s="306"/>
      <c r="B116" s="306"/>
      <c r="C116" s="334"/>
      <c r="D116" s="332"/>
      <c r="E116" s="332"/>
      <c r="F116" s="306"/>
      <c r="G116" s="306"/>
      <c r="H116" s="306"/>
      <c r="I116" s="310"/>
      <c r="J116" s="310"/>
      <c r="K116" s="310"/>
      <c r="L116" s="310"/>
      <c r="M116" s="306"/>
      <c r="N116" s="306"/>
      <c r="O116" s="306"/>
      <c r="P116" s="306"/>
      <c r="Q116" s="306"/>
      <c r="R116" s="306"/>
      <c r="S116" s="304"/>
      <c r="T116" s="304"/>
      <c r="U116" s="304"/>
      <c r="V116" s="304"/>
      <c r="W116" s="304"/>
      <c r="X116" s="304"/>
      <c r="Y116" s="304"/>
      <c r="Z116" s="304"/>
      <c r="AA116" s="304"/>
      <c r="AB116" s="304"/>
      <c r="AC116" s="304"/>
      <c r="AD116" s="304"/>
      <c r="AE116" s="304"/>
      <c r="AF116" s="304"/>
    </row>
    <row r="117" spans="1:32" s="22" customFormat="1" ht="26.1" customHeight="1">
      <c r="A117" s="168"/>
      <c r="B117" s="168"/>
      <c r="C117" s="169" t="s">
        <v>116</v>
      </c>
      <c r="D117" s="170"/>
      <c r="E117" s="171"/>
      <c r="F117" s="172"/>
      <c r="G117" s="172"/>
      <c r="H117" s="172"/>
      <c r="I117" s="173"/>
      <c r="J117" s="182"/>
      <c r="K117" s="175"/>
      <c r="L117" s="173"/>
      <c r="M117" s="176"/>
      <c r="N117" s="177"/>
      <c r="O117" s="173"/>
      <c r="P117" s="177"/>
      <c r="Q117" s="172"/>
      <c r="R117" s="172"/>
      <c r="S117" s="405"/>
      <c r="T117" s="405"/>
      <c r="U117" s="405"/>
      <c r="V117" s="179"/>
      <c r="W117" s="179"/>
      <c r="X117" s="179"/>
      <c r="Y117" s="246">
        <f>sozial</f>
        <v>0.185</v>
      </c>
      <c r="Z117" s="179"/>
      <c r="AA117" s="179"/>
      <c r="AB117" s="179"/>
      <c r="AC117" s="179"/>
      <c r="AD117" s="179"/>
      <c r="AE117" s="179"/>
      <c r="AF117" s="179"/>
    </row>
    <row r="118" spans="1:32" s="22" customFormat="1" ht="24" customHeight="1">
      <c r="A118" s="317"/>
      <c r="B118" s="317"/>
      <c r="C118" s="150"/>
      <c r="D118" s="151"/>
      <c r="E118" s="148"/>
      <c r="F118" s="155"/>
      <c r="G118" s="156"/>
      <c r="H118" s="159"/>
      <c r="I118" s="379">
        <v>0.185</v>
      </c>
      <c r="J118" s="180" t="s">
        <v>117</v>
      </c>
      <c r="K118" s="30"/>
      <c r="L118" s="30"/>
      <c r="M118" s="30"/>
      <c r="N118" s="149"/>
      <c r="O118" s="161"/>
      <c r="P118" s="161"/>
      <c r="Q118" s="162"/>
      <c r="R118" s="149"/>
      <c r="S118" s="316"/>
      <c r="T118" s="304"/>
      <c r="U118" s="304"/>
      <c r="V118" s="304"/>
      <c r="W118" s="304"/>
      <c r="X118" s="304"/>
      <c r="Y118" s="304"/>
      <c r="Z118" s="304"/>
      <c r="AA118" s="304"/>
      <c r="AB118" s="304"/>
      <c r="AC118" s="304"/>
      <c r="AD118" s="304"/>
      <c r="AE118" s="304"/>
      <c r="AF118" s="304"/>
    </row>
    <row r="119" spans="1:32" s="22" customFormat="1" ht="14.1" customHeight="1">
      <c r="A119" s="345"/>
      <c r="B119" s="345"/>
      <c r="C119" s="150"/>
      <c r="D119" s="151"/>
      <c r="E119" s="148"/>
      <c r="F119" s="155"/>
      <c r="G119" s="156"/>
      <c r="H119" s="156"/>
      <c r="I119" s="156"/>
      <c r="J119" s="156"/>
      <c r="K119" s="30"/>
      <c r="L119" s="30"/>
      <c r="M119" s="30"/>
      <c r="N119" s="149"/>
      <c r="O119" s="161"/>
      <c r="P119" s="161"/>
      <c r="Q119" s="162"/>
      <c r="R119" s="149"/>
      <c r="S119" s="316"/>
      <c r="T119" s="304"/>
      <c r="U119" s="304"/>
      <c r="V119" s="304"/>
      <c r="W119" s="304"/>
      <c r="X119" s="304"/>
      <c r="Y119" s="304"/>
      <c r="Z119" s="304"/>
      <c r="AA119" s="304"/>
      <c r="AB119" s="304"/>
      <c r="AC119" s="304"/>
      <c r="AD119" s="304"/>
      <c r="AE119" s="304"/>
      <c r="AF119" s="304"/>
    </row>
    <row r="120" spans="1:32" s="22" customFormat="1" ht="13.5">
      <c r="A120" s="306"/>
      <c r="B120" s="306"/>
      <c r="C120" s="334"/>
      <c r="D120" s="332"/>
      <c r="E120" s="332"/>
      <c r="F120" s="306"/>
      <c r="G120" s="306"/>
      <c r="H120" s="306"/>
      <c r="I120" s="310"/>
      <c r="J120" s="310"/>
      <c r="K120" s="310"/>
      <c r="L120" s="310"/>
      <c r="M120" s="306"/>
      <c r="N120" s="306"/>
      <c r="O120" s="306"/>
      <c r="P120" s="306"/>
      <c r="Q120" s="306"/>
      <c r="R120" s="306"/>
      <c r="S120" s="304"/>
      <c r="T120" s="304"/>
      <c r="U120" s="304"/>
      <c r="V120" s="304"/>
      <c r="W120" s="304"/>
      <c r="X120" s="304"/>
      <c r="Y120" s="304"/>
      <c r="Z120" s="304"/>
      <c r="AA120" s="304"/>
      <c r="AB120" s="304"/>
      <c r="AC120" s="304"/>
      <c r="AD120" s="304"/>
      <c r="AE120" s="304"/>
      <c r="AF120" s="304"/>
    </row>
    <row r="121" spans="1:32" s="22" customFormat="1" ht="26.1" customHeight="1">
      <c r="A121" s="203"/>
      <c r="B121" s="203"/>
      <c r="C121" s="204" t="s">
        <v>118</v>
      </c>
      <c r="D121" s="205"/>
      <c r="E121" s="206"/>
      <c r="F121" s="207"/>
      <c r="G121" s="207"/>
      <c r="H121" s="207"/>
      <c r="I121" s="236" t="s">
        <v>25</v>
      </c>
      <c r="J121" s="237"/>
      <c r="K121" s="238"/>
      <c r="L121" s="236" t="s">
        <v>147</v>
      </c>
      <c r="M121" s="208"/>
      <c r="N121" s="209"/>
      <c r="O121" s="235" t="s">
        <v>119</v>
      </c>
      <c r="P121" s="209"/>
      <c r="Q121" s="207"/>
      <c r="R121" s="207"/>
      <c r="S121" s="281" t="s">
        <v>124</v>
      </c>
      <c r="T121" s="210" t="s">
        <v>95</v>
      </c>
      <c r="U121" s="210"/>
      <c r="V121" s="211"/>
      <c r="W121" s="211"/>
      <c r="X121" s="211"/>
      <c r="Y121" s="247">
        <f>IF(S121=Y123,eltern2,eltern)</f>
        <v>25</v>
      </c>
      <c r="Z121" s="211"/>
      <c r="AA121" s="211"/>
      <c r="AB121" s="211"/>
      <c r="AC121" s="211"/>
      <c r="AD121" s="211"/>
      <c r="AE121" s="211"/>
      <c r="AF121" s="211"/>
    </row>
    <row r="122" spans="1:32" s="22" customFormat="1" ht="24" customHeight="1">
      <c r="A122" s="317"/>
      <c r="B122" s="317"/>
      <c r="C122" s="166" t="str">
        <f>IF(S121=Y123,"","ü")</f>
        <v>ü</v>
      </c>
      <c r="D122" s="136" t="s">
        <v>121</v>
      </c>
      <c r="E122" s="137"/>
      <c r="F122" s="139"/>
      <c r="G122" s="144"/>
      <c r="H122" s="240" t="s">
        <v>22</v>
      </c>
      <c r="I122" s="212">
        <f>eltern</f>
        <v>25</v>
      </c>
      <c r="J122" s="144"/>
      <c r="K122" s="140"/>
      <c r="L122" s="213"/>
      <c r="M122" s="141"/>
      <c r="N122" s="142"/>
      <c r="O122" s="234" t="s">
        <v>120</v>
      </c>
      <c r="P122" s="141"/>
      <c r="Q122" s="144"/>
      <c r="R122" s="144"/>
      <c r="S122" s="316"/>
      <c r="T122" s="304"/>
      <c r="U122" s="304"/>
      <c r="V122" s="304"/>
      <c r="W122" s="304"/>
      <c r="X122" s="304"/>
      <c r="Y122" s="357" t="s">
        <v>124</v>
      </c>
      <c r="Z122" s="304"/>
      <c r="AA122" s="304"/>
      <c r="AB122" s="304"/>
      <c r="AC122" s="304"/>
      <c r="AD122" s="304"/>
      <c r="AE122" s="304"/>
      <c r="AF122" s="304"/>
    </row>
    <row r="123" spans="1:32" s="22" customFormat="1" ht="24" customHeight="1">
      <c r="A123" s="317"/>
      <c r="B123" s="317"/>
      <c r="C123" s="214" t="str">
        <f>IF(S121=Y123,"ü","")</f>
        <v/>
      </c>
      <c r="D123" s="269" t="s">
        <v>122</v>
      </c>
      <c r="E123" s="215"/>
      <c r="F123" s="104"/>
      <c r="G123" s="216"/>
      <c r="H123" s="270" t="s">
        <v>22</v>
      </c>
      <c r="I123" s="239" t="str">
        <f>IF(SUM(L124:L134)=0,"",SUMPRODUCT(I124:I134,L124:L134)/SUM(L124:L134))</f>
        <v/>
      </c>
      <c r="J123" s="216"/>
      <c r="K123" s="217"/>
      <c r="L123" s="218"/>
      <c r="M123" s="219"/>
      <c r="N123" s="220"/>
      <c r="O123" s="227"/>
      <c r="P123" s="219"/>
      <c r="Q123" s="216"/>
      <c r="R123" s="216"/>
      <c r="S123" s="316"/>
      <c r="T123" s="304"/>
      <c r="U123" s="304"/>
      <c r="V123" s="304"/>
      <c r="W123" s="304"/>
      <c r="X123" s="304"/>
      <c r="Y123" s="357" t="s">
        <v>122</v>
      </c>
      <c r="Z123" s="304"/>
      <c r="AA123" s="304"/>
      <c r="AB123" s="304"/>
      <c r="AC123" s="304"/>
      <c r="AD123" s="304"/>
      <c r="AE123" s="304"/>
      <c r="AF123" s="304"/>
    </row>
    <row r="124" spans="1:32" s="22" customFormat="1" ht="24" customHeight="1">
      <c r="A124" s="306"/>
      <c r="B124" s="306"/>
      <c r="C124" s="221"/>
      <c r="D124" s="221"/>
      <c r="E124" s="222"/>
      <c r="F124" s="216"/>
      <c r="G124" s="216"/>
      <c r="H124" s="270" t="s">
        <v>22</v>
      </c>
      <c r="I124" s="377"/>
      <c r="J124" s="271"/>
      <c r="K124" s="216"/>
      <c r="L124" s="378"/>
      <c r="M124" s="226"/>
      <c r="N124" s="220"/>
      <c r="O124" s="393"/>
      <c r="P124" s="394"/>
      <c r="Q124" s="395"/>
      <c r="R124" s="215"/>
      <c r="S124" s="304"/>
      <c r="T124" s="304"/>
      <c r="U124" s="304"/>
      <c r="V124" s="304"/>
      <c r="W124" s="304"/>
      <c r="X124" s="304"/>
      <c r="Y124" s="304"/>
      <c r="Z124" s="304"/>
      <c r="AA124" s="304"/>
      <c r="AB124" s="304"/>
      <c r="AC124" s="304"/>
      <c r="AD124" s="304"/>
      <c r="AE124" s="304"/>
      <c r="AF124" s="304"/>
    </row>
    <row r="125" spans="1:32" s="22" customFormat="1" ht="24" customHeight="1">
      <c r="A125" s="308"/>
      <c r="B125" s="308"/>
      <c r="C125" s="273"/>
      <c r="D125" s="222"/>
      <c r="E125" s="222"/>
      <c r="F125" s="216"/>
      <c r="G125" s="216"/>
      <c r="H125" s="270" t="s">
        <v>22</v>
      </c>
      <c r="I125" s="377"/>
      <c r="J125" s="271"/>
      <c r="K125" s="216"/>
      <c r="L125" s="378"/>
      <c r="M125" s="225"/>
      <c r="N125" s="220"/>
      <c r="O125" s="393"/>
      <c r="P125" s="394"/>
      <c r="Q125" s="395"/>
      <c r="R125" s="215"/>
      <c r="S125" s="304"/>
      <c r="T125" s="304"/>
      <c r="U125" s="304"/>
      <c r="V125" s="304"/>
      <c r="W125" s="304"/>
      <c r="X125" s="304"/>
      <c r="Y125" s="304"/>
      <c r="Z125" s="304"/>
      <c r="AA125" s="304"/>
      <c r="AB125" s="304"/>
      <c r="AC125" s="304"/>
      <c r="AD125" s="304"/>
      <c r="AE125" s="304"/>
      <c r="AF125" s="304"/>
    </row>
    <row r="126" spans="1:32" s="22" customFormat="1" ht="24" customHeight="1">
      <c r="A126" s="308"/>
      <c r="B126" s="308"/>
      <c r="C126" s="273"/>
      <c r="D126" s="223"/>
      <c r="E126" s="222"/>
      <c r="F126" s="216"/>
      <c r="G126" s="216"/>
      <c r="H126" s="270" t="s">
        <v>22</v>
      </c>
      <c r="I126" s="377"/>
      <c r="J126" s="271"/>
      <c r="K126" s="216"/>
      <c r="L126" s="378"/>
      <c r="M126" s="225"/>
      <c r="N126" s="220"/>
      <c r="O126" s="393"/>
      <c r="P126" s="394"/>
      <c r="Q126" s="395"/>
      <c r="R126" s="215"/>
      <c r="S126" s="304"/>
      <c r="T126" s="304"/>
      <c r="U126" s="304"/>
      <c r="V126" s="304"/>
      <c r="W126" s="304"/>
      <c r="X126" s="304"/>
      <c r="Y126" s="304"/>
      <c r="Z126" s="304"/>
      <c r="AA126" s="304"/>
      <c r="AB126" s="304"/>
      <c r="AC126" s="304"/>
      <c r="AD126" s="304"/>
      <c r="AE126" s="304"/>
      <c r="AF126" s="304"/>
    </row>
    <row r="127" spans="1:32" s="20" customFormat="1" ht="24" customHeight="1">
      <c r="A127" s="308"/>
      <c r="B127" s="308"/>
      <c r="C127" s="273"/>
      <c r="D127" s="216"/>
      <c r="E127" s="216"/>
      <c r="F127" s="216"/>
      <c r="G127" s="216"/>
      <c r="H127" s="270" t="s">
        <v>22</v>
      </c>
      <c r="I127" s="377"/>
      <c r="J127" s="271"/>
      <c r="K127" s="216"/>
      <c r="L127" s="378"/>
      <c r="M127" s="225"/>
      <c r="N127" s="220"/>
      <c r="O127" s="393"/>
      <c r="P127" s="394"/>
      <c r="Q127" s="395"/>
      <c r="R127" s="215"/>
      <c r="S127" s="306"/>
      <c r="T127" s="306"/>
      <c r="U127" s="306"/>
      <c r="V127" s="306"/>
      <c r="W127" s="306"/>
      <c r="X127" s="306"/>
      <c r="Y127" s="306"/>
      <c r="Z127" s="306"/>
      <c r="AA127" s="306"/>
      <c r="AB127" s="306"/>
      <c r="AC127" s="306"/>
      <c r="AD127" s="306"/>
      <c r="AE127" s="306"/>
      <c r="AF127" s="306"/>
    </row>
    <row r="128" spans="1:32" s="20" customFormat="1" ht="24" customHeight="1">
      <c r="A128" s="308"/>
      <c r="B128" s="308"/>
      <c r="C128" s="273"/>
      <c r="D128" s="216"/>
      <c r="E128" s="216"/>
      <c r="F128" s="216"/>
      <c r="G128" s="216"/>
      <c r="H128" s="270" t="s">
        <v>22</v>
      </c>
      <c r="I128" s="377"/>
      <c r="J128" s="271"/>
      <c r="K128" s="216"/>
      <c r="L128" s="378"/>
      <c r="M128" s="225"/>
      <c r="N128" s="220"/>
      <c r="O128" s="373"/>
      <c r="P128" s="374"/>
      <c r="Q128" s="375"/>
      <c r="R128" s="215"/>
      <c r="S128" s="306"/>
      <c r="T128" s="306"/>
      <c r="U128" s="306"/>
      <c r="V128" s="306"/>
      <c r="W128" s="306"/>
      <c r="X128" s="306"/>
      <c r="Y128" s="306"/>
      <c r="Z128" s="306"/>
      <c r="AA128" s="306"/>
      <c r="AB128" s="306"/>
      <c r="AC128" s="306"/>
      <c r="AD128" s="306"/>
      <c r="AE128" s="306"/>
      <c r="AF128" s="306"/>
    </row>
    <row r="129" spans="1:32" s="20" customFormat="1" ht="24" customHeight="1">
      <c r="A129" s="308"/>
      <c r="B129" s="308"/>
      <c r="C129" s="273"/>
      <c r="D129" s="216"/>
      <c r="E129" s="216"/>
      <c r="F129" s="216"/>
      <c r="G129" s="216"/>
      <c r="H129" s="270" t="s">
        <v>22</v>
      </c>
      <c r="I129" s="377"/>
      <c r="J129" s="271"/>
      <c r="K129" s="216"/>
      <c r="L129" s="378"/>
      <c r="M129" s="225"/>
      <c r="N129" s="220"/>
      <c r="O129" s="373"/>
      <c r="P129" s="374"/>
      <c r="Q129" s="375"/>
      <c r="R129" s="215"/>
      <c r="S129" s="306"/>
      <c r="T129" s="306"/>
      <c r="U129" s="306"/>
      <c r="V129" s="306"/>
      <c r="W129" s="306"/>
      <c r="X129" s="306"/>
      <c r="Y129" s="306"/>
      <c r="Z129" s="306"/>
      <c r="AA129" s="306"/>
      <c r="AB129" s="306"/>
      <c r="AC129" s="306"/>
      <c r="AD129" s="306"/>
      <c r="AE129" s="306"/>
      <c r="AF129" s="306"/>
    </row>
    <row r="130" spans="1:32" s="20" customFormat="1" ht="24" customHeight="1">
      <c r="A130" s="308"/>
      <c r="B130" s="308"/>
      <c r="C130" s="273"/>
      <c r="D130" s="216"/>
      <c r="E130" s="216"/>
      <c r="F130" s="216"/>
      <c r="G130" s="216"/>
      <c r="H130" s="270" t="s">
        <v>22</v>
      </c>
      <c r="I130" s="377"/>
      <c r="J130" s="271"/>
      <c r="K130" s="216"/>
      <c r="L130" s="378"/>
      <c r="M130" s="225"/>
      <c r="N130" s="220"/>
      <c r="O130" s="373"/>
      <c r="P130" s="374"/>
      <c r="Q130" s="375"/>
      <c r="R130" s="215"/>
      <c r="S130" s="306"/>
      <c r="T130" s="306"/>
      <c r="U130" s="306"/>
      <c r="V130" s="306"/>
      <c r="W130" s="306"/>
      <c r="X130" s="306"/>
      <c r="Y130" s="306"/>
      <c r="Z130" s="306"/>
      <c r="AA130" s="306"/>
      <c r="AB130" s="306"/>
      <c r="AC130" s="306"/>
      <c r="AD130" s="306"/>
      <c r="AE130" s="306"/>
      <c r="AF130" s="306"/>
    </row>
    <row r="131" spans="1:32" s="20" customFormat="1" ht="24" customHeight="1">
      <c r="A131" s="308"/>
      <c r="B131" s="308"/>
      <c r="C131" s="273"/>
      <c r="D131" s="216"/>
      <c r="E131" s="216"/>
      <c r="F131" s="216"/>
      <c r="G131" s="216"/>
      <c r="H131" s="270" t="s">
        <v>22</v>
      </c>
      <c r="I131" s="377"/>
      <c r="J131" s="271"/>
      <c r="K131" s="216"/>
      <c r="L131" s="378"/>
      <c r="M131" s="225"/>
      <c r="N131" s="220"/>
      <c r="O131" s="373"/>
      <c r="P131" s="374"/>
      <c r="Q131" s="375"/>
      <c r="R131" s="215"/>
      <c r="S131" s="306"/>
      <c r="T131" s="306"/>
      <c r="U131" s="306"/>
      <c r="V131" s="306"/>
      <c r="W131" s="306"/>
      <c r="X131" s="306"/>
      <c r="Y131" s="306"/>
      <c r="Z131" s="306"/>
      <c r="AA131" s="306"/>
      <c r="AB131" s="306"/>
      <c r="AC131" s="306"/>
      <c r="AD131" s="306"/>
      <c r="AE131" s="306"/>
      <c r="AF131" s="306"/>
    </row>
    <row r="132" spans="1:32" s="20" customFormat="1" ht="24" customHeight="1">
      <c r="A132" s="308"/>
      <c r="B132" s="308"/>
      <c r="C132" s="273"/>
      <c r="D132" s="216"/>
      <c r="E132" s="216"/>
      <c r="F132" s="216"/>
      <c r="G132" s="216"/>
      <c r="H132" s="270" t="s">
        <v>22</v>
      </c>
      <c r="I132" s="377"/>
      <c r="J132" s="271"/>
      <c r="K132" s="216"/>
      <c r="L132" s="378"/>
      <c r="M132" s="225"/>
      <c r="N132" s="220"/>
      <c r="O132" s="393"/>
      <c r="P132" s="394"/>
      <c r="Q132" s="395"/>
      <c r="R132" s="215"/>
      <c r="S132" s="306"/>
      <c r="T132" s="306"/>
      <c r="U132" s="306"/>
      <c r="V132" s="306"/>
      <c r="W132" s="306"/>
      <c r="X132" s="306"/>
      <c r="Y132" s="306"/>
      <c r="Z132" s="306"/>
      <c r="AA132" s="306"/>
      <c r="AB132" s="306"/>
      <c r="AC132" s="306"/>
      <c r="AD132" s="306"/>
      <c r="AE132" s="306"/>
      <c r="AF132" s="306"/>
    </row>
    <row r="133" spans="1:32" s="20" customFormat="1" ht="24" customHeight="1">
      <c r="A133" s="308"/>
      <c r="B133" s="308"/>
      <c r="C133" s="273"/>
      <c r="D133" s="216"/>
      <c r="E133" s="216"/>
      <c r="F133" s="216"/>
      <c r="G133" s="216"/>
      <c r="H133" s="270" t="s">
        <v>22</v>
      </c>
      <c r="I133" s="377"/>
      <c r="J133" s="271"/>
      <c r="K133" s="216"/>
      <c r="L133" s="378"/>
      <c r="M133" s="225"/>
      <c r="N133" s="220"/>
      <c r="O133" s="393"/>
      <c r="P133" s="394"/>
      <c r="Q133" s="395"/>
      <c r="R133" s="215"/>
      <c r="S133" s="306"/>
      <c r="T133" s="306"/>
      <c r="U133" s="306"/>
      <c r="V133" s="306"/>
      <c r="W133" s="306"/>
      <c r="X133" s="306"/>
      <c r="Y133" s="306"/>
      <c r="Z133" s="306"/>
      <c r="AA133" s="306"/>
      <c r="AB133" s="306"/>
      <c r="AC133" s="306"/>
      <c r="AD133" s="306"/>
      <c r="AE133" s="306"/>
      <c r="AF133" s="306"/>
    </row>
    <row r="134" spans="1:32" s="20" customFormat="1" ht="24" customHeight="1">
      <c r="A134" s="308"/>
      <c r="B134" s="308"/>
      <c r="C134" s="273"/>
      <c r="D134" s="216"/>
      <c r="E134" s="216"/>
      <c r="F134" s="216"/>
      <c r="G134" s="216"/>
      <c r="H134" s="270" t="s">
        <v>22</v>
      </c>
      <c r="I134" s="377"/>
      <c r="J134" s="271"/>
      <c r="K134" s="216"/>
      <c r="L134" s="378"/>
      <c r="M134" s="225"/>
      <c r="N134" s="220"/>
      <c r="O134" s="393"/>
      <c r="P134" s="394"/>
      <c r="Q134" s="395"/>
      <c r="R134" s="215"/>
      <c r="S134" s="306"/>
      <c r="T134" s="306"/>
      <c r="U134" s="306"/>
      <c r="V134" s="306"/>
      <c r="W134" s="306"/>
      <c r="X134" s="306"/>
      <c r="Y134" s="306"/>
      <c r="Z134" s="306"/>
      <c r="AA134" s="306"/>
      <c r="AB134" s="306"/>
      <c r="AC134" s="306"/>
      <c r="AD134" s="306"/>
      <c r="AE134" s="306"/>
      <c r="AF134" s="306"/>
    </row>
    <row r="135" spans="1:32" s="22" customFormat="1" ht="14.1" customHeight="1">
      <c r="A135" s="317"/>
      <c r="B135" s="317"/>
      <c r="C135" s="228"/>
      <c r="D135" s="229"/>
      <c r="E135" s="215"/>
      <c r="F135" s="230"/>
      <c r="G135" s="231"/>
      <c r="H135" s="231"/>
      <c r="I135" s="231"/>
      <c r="J135" s="231"/>
      <c r="K135" s="220"/>
      <c r="L135" s="220"/>
      <c r="M135" s="220"/>
      <c r="N135" s="216"/>
      <c r="O135" s="232"/>
      <c r="P135" s="232"/>
      <c r="Q135" s="233"/>
      <c r="R135" s="216"/>
      <c r="S135" s="316"/>
      <c r="T135" s="304"/>
      <c r="U135" s="304"/>
      <c r="V135" s="304"/>
      <c r="W135" s="304"/>
      <c r="X135" s="304"/>
      <c r="Y135" s="304"/>
      <c r="Z135" s="304"/>
      <c r="AA135" s="304"/>
      <c r="AB135" s="304"/>
      <c r="AC135" s="304"/>
      <c r="AD135" s="304"/>
      <c r="AE135" s="304"/>
      <c r="AF135" s="304"/>
    </row>
    <row r="136" spans="1:32" s="20" customFormat="1" ht="24" customHeight="1">
      <c r="A136" s="308"/>
      <c r="B136" s="308"/>
      <c r="C136" s="273"/>
      <c r="D136" s="273" t="s">
        <v>123</v>
      </c>
      <c r="E136" s="224"/>
      <c r="F136" s="295" t="s">
        <v>26</v>
      </c>
      <c r="G136" s="273" t="s">
        <v>125</v>
      </c>
      <c r="H136" s="270"/>
      <c r="I136" s="274"/>
      <c r="J136" s="271"/>
      <c r="K136" s="216"/>
      <c r="L136" s="275"/>
      <c r="M136" s="225"/>
      <c r="N136" s="225"/>
      <c r="O136" s="225"/>
      <c r="P136" s="216"/>
      <c r="Q136" s="215"/>
      <c r="R136" s="215"/>
      <c r="S136" s="306"/>
      <c r="T136" s="306"/>
      <c r="U136" s="306"/>
      <c r="V136" s="306"/>
      <c r="W136" s="306"/>
      <c r="X136" s="306"/>
      <c r="Y136" s="306"/>
      <c r="Z136" s="306"/>
      <c r="AA136" s="306"/>
      <c r="AB136" s="306"/>
      <c r="AC136" s="306"/>
      <c r="AD136" s="306"/>
      <c r="AE136" s="306"/>
      <c r="AF136" s="306"/>
    </row>
    <row r="137" spans="1:32" s="20" customFormat="1" ht="15" customHeight="1">
      <c r="A137" s="346"/>
      <c r="B137" s="346"/>
      <c r="C137" s="225"/>
      <c r="D137" s="216"/>
      <c r="E137" s="241"/>
      <c r="F137" s="296" t="s">
        <v>26</v>
      </c>
      <c r="G137" s="225" t="s">
        <v>126</v>
      </c>
      <c r="H137" s="276"/>
      <c r="I137" s="277"/>
      <c r="J137" s="278"/>
      <c r="K137" s="216"/>
      <c r="L137" s="279"/>
      <c r="M137" s="225"/>
      <c r="N137" s="225"/>
      <c r="O137" s="225"/>
      <c r="P137" s="216"/>
      <c r="Q137" s="280"/>
      <c r="R137" s="280"/>
      <c r="S137" s="306"/>
      <c r="T137" s="306"/>
      <c r="U137" s="306"/>
      <c r="V137" s="306"/>
      <c r="W137" s="306"/>
      <c r="X137" s="306"/>
      <c r="Y137" s="306"/>
      <c r="Z137" s="306"/>
      <c r="AA137" s="306"/>
      <c r="AB137" s="306"/>
      <c r="AC137" s="306"/>
      <c r="AD137" s="306"/>
      <c r="AE137" s="306"/>
      <c r="AF137" s="306"/>
    </row>
    <row r="138" spans="1:32" s="20" customFormat="1" ht="27" customHeight="1">
      <c r="A138" s="346"/>
      <c r="B138" s="346"/>
      <c r="C138" s="225"/>
      <c r="D138" s="216"/>
      <c r="E138" s="241"/>
      <c r="F138" s="296"/>
      <c r="G138" s="225" t="s">
        <v>127</v>
      </c>
      <c r="H138" s="276"/>
      <c r="I138" s="277"/>
      <c r="J138" s="278"/>
      <c r="K138" s="216"/>
      <c r="L138" s="279"/>
      <c r="M138" s="225"/>
      <c r="N138" s="225"/>
      <c r="O138" s="225"/>
      <c r="P138" s="216"/>
      <c r="Q138" s="280"/>
      <c r="R138" s="280"/>
      <c r="S138" s="306"/>
      <c r="T138" s="306"/>
      <c r="U138" s="306"/>
      <c r="V138" s="306"/>
      <c r="W138" s="306"/>
      <c r="X138" s="306"/>
      <c r="Y138" s="306"/>
      <c r="Z138" s="306"/>
      <c r="AA138" s="306"/>
      <c r="AB138" s="306"/>
      <c r="AC138" s="306"/>
      <c r="AD138" s="306"/>
      <c r="AE138" s="306"/>
      <c r="AF138" s="306"/>
    </row>
    <row r="139" spans="1:32" s="22" customFormat="1" ht="13.5">
      <c r="A139" s="306"/>
      <c r="B139" s="306"/>
      <c r="C139" s="334"/>
      <c r="D139" s="332"/>
      <c r="E139" s="332"/>
      <c r="F139" s="306"/>
      <c r="G139" s="306"/>
      <c r="H139" s="306"/>
      <c r="I139" s="310"/>
      <c r="J139" s="310"/>
      <c r="K139" s="310"/>
      <c r="L139" s="310"/>
      <c r="M139" s="306"/>
      <c r="N139" s="306"/>
      <c r="O139" s="306"/>
      <c r="P139" s="306"/>
      <c r="Q139" s="306"/>
      <c r="R139" s="306"/>
      <c r="S139" s="304"/>
      <c r="T139" s="304"/>
      <c r="U139" s="304"/>
      <c r="V139" s="304"/>
      <c r="W139" s="304"/>
      <c r="X139" s="304"/>
      <c r="Y139" s="304"/>
      <c r="Z139" s="304"/>
      <c r="AA139" s="304"/>
      <c r="AB139" s="304"/>
      <c r="AC139" s="304"/>
      <c r="AD139" s="304"/>
      <c r="AE139" s="304"/>
      <c r="AF139" s="304"/>
    </row>
    <row r="140" spans="1:32" s="22" customFormat="1" ht="13.5">
      <c r="A140" s="306"/>
      <c r="B140" s="306"/>
      <c r="C140" s="334"/>
      <c r="D140" s="332"/>
      <c r="E140" s="332"/>
      <c r="F140" s="306"/>
      <c r="G140" s="306"/>
      <c r="H140" s="306"/>
      <c r="I140" s="310"/>
      <c r="J140" s="310"/>
      <c r="K140" s="310"/>
      <c r="L140" s="310"/>
      <c r="M140" s="306"/>
      <c r="N140" s="306"/>
      <c r="O140" s="306"/>
      <c r="P140" s="306"/>
      <c r="Q140" s="306"/>
      <c r="R140" s="306"/>
      <c r="S140" s="304"/>
      <c r="T140" s="304"/>
      <c r="U140" s="304"/>
      <c r="V140" s="304"/>
      <c r="W140" s="304"/>
      <c r="X140" s="304"/>
      <c r="Y140" s="304"/>
      <c r="Z140" s="304"/>
      <c r="AA140" s="304"/>
      <c r="AB140" s="304"/>
      <c r="AC140" s="304"/>
      <c r="AD140" s="304"/>
      <c r="AE140" s="304"/>
      <c r="AF140" s="304"/>
    </row>
    <row r="141" spans="1:32" s="20" customFormat="1" ht="13.5">
      <c r="A141" s="310"/>
      <c r="B141" s="310"/>
      <c r="C141" s="310"/>
      <c r="D141" s="347"/>
      <c r="E141" s="347"/>
      <c r="F141" s="347"/>
      <c r="G141" s="310"/>
      <c r="H141" s="310"/>
      <c r="I141" s="310"/>
      <c r="J141" s="310"/>
      <c r="K141" s="310"/>
      <c r="L141" s="310"/>
      <c r="M141" s="310"/>
      <c r="N141" s="310"/>
      <c r="O141" s="310"/>
      <c r="P141" s="310"/>
      <c r="Q141" s="310"/>
      <c r="R141" s="310"/>
      <c r="S141" s="306"/>
      <c r="T141" s="306"/>
      <c r="U141" s="306"/>
      <c r="V141" s="306"/>
      <c r="W141" s="306"/>
      <c r="X141" s="306"/>
      <c r="Y141" s="306"/>
      <c r="Z141" s="306"/>
      <c r="AA141" s="306"/>
      <c r="AB141" s="306"/>
      <c r="AC141" s="306"/>
      <c r="AD141" s="306"/>
      <c r="AE141" s="306"/>
      <c r="AF141" s="306"/>
    </row>
    <row r="142" spans="1:32" s="22" customFormat="1" ht="24" hidden="1" customHeight="1">
      <c r="A142" s="317"/>
      <c r="B142" s="317"/>
      <c r="C142" s="327"/>
      <c r="D142" s="331"/>
      <c r="E142" s="332"/>
      <c r="F142" s="306"/>
      <c r="G142" s="304"/>
      <c r="H142" s="348"/>
      <c r="I142" s="349" t="s">
        <v>53</v>
      </c>
      <c r="J142" s="302"/>
      <c r="K142" s="304"/>
      <c r="L142" s="348" t="s">
        <v>57</v>
      </c>
      <c r="M142" s="302"/>
      <c r="N142" s="304"/>
      <c r="O142" s="348" t="s">
        <v>58</v>
      </c>
      <c r="P142" s="323"/>
      <c r="Q142" s="315"/>
      <c r="R142" s="348" t="s">
        <v>60</v>
      </c>
      <c r="S142" s="316"/>
      <c r="T142" s="304"/>
      <c r="U142" s="304"/>
      <c r="V142" s="304"/>
      <c r="W142" s="304"/>
      <c r="X142" s="304"/>
      <c r="Y142" s="304"/>
      <c r="Z142" s="304"/>
      <c r="AA142" s="304"/>
      <c r="AB142" s="304"/>
      <c r="AC142" s="304"/>
      <c r="AD142" s="304"/>
      <c r="AE142" s="304"/>
      <c r="AF142" s="304"/>
    </row>
    <row r="143" spans="1:32" s="22" customFormat="1" ht="24" hidden="1" customHeight="1">
      <c r="A143" s="317"/>
      <c r="B143" s="317"/>
      <c r="C143" s="318" t="s">
        <v>128</v>
      </c>
      <c r="D143" s="350" t="s">
        <v>129</v>
      </c>
      <c r="E143" s="320"/>
      <c r="F143" s="306"/>
      <c r="G143" s="322"/>
      <c r="H143" s="322"/>
      <c r="I143" s="351">
        <f t="shared" ref="I143:I148" si="0">L143/kinder_</f>
        <v>0.875</v>
      </c>
      <c r="J143" s="351"/>
      <c r="K143" s="351"/>
      <c r="L143" s="351">
        <f>Y97</f>
        <v>21</v>
      </c>
      <c r="M143" s="351"/>
      <c r="N143" s="352"/>
      <c r="O143" s="351">
        <f>L143*5</f>
        <v>105</v>
      </c>
      <c r="P143" s="353"/>
      <c r="Q143" s="354"/>
      <c r="R143" s="351">
        <f>L143*tage_</f>
        <v>525</v>
      </c>
      <c r="S143" s="355"/>
      <c r="T143" s="304"/>
      <c r="U143" s="304"/>
      <c r="V143" s="304"/>
      <c r="W143" s="304"/>
      <c r="X143" s="304"/>
      <c r="Y143" s="304"/>
      <c r="Z143" s="304"/>
      <c r="AA143" s="304"/>
      <c r="AB143" s="304"/>
      <c r="AC143" s="304"/>
      <c r="AD143" s="304"/>
      <c r="AE143" s="304"/>
      <c r="AF143" s="304"/>
    </row>
    <row r="144" spans="1:32" s="22" customFormat="1" ht="24" hidden="1" customHeight="1">
      <c r="A144" s="317"/>
      <c r="B144" s="317"/>
      <c r="C144" s="318"/>
      <c r="D144" s="350" t="s">
        <v>130</v>
      </c>
      <c r="E144" s="320"/>
      <c r="F144" s="321"/>
      <c r="G144" s="322"/>
      <c r="H144" s="322"/>
      <c r="I144" s="351">
        <f t="shared" si="0"/>
        <v>40.25</v>
      </c>
      <c r="J144" s="351"/>
      <c r="K144" s="351"/>
      <c r="L144" s="356">
        <f>L143*lohn1</f>
        <v>966</v>
      </c>
      <c r="M144" s="351"/>
      <c r="N144" s="352"/>
      <c r="O144" s="351">
        <f>L144*5</f>
        <v>4830</v>
      </c>
      <c r="P144" s="353"/>
      <c r="Q144" s="354"/>
      <c r="R144" s="351">
        <f>L144*tage_</f>
        <v>24150</v>
      </c>
      <c r="S144" s="355"/>
      <c r="T144" s="304"/>
      <c r="U144" s="304"/>
      <c r="V144" s="304"/>
      <c r="W144" s="304"/>
      <c r="X144" s="304"/>
      <c r="Y144" s="304"/>
      <c r="Z144" s="304"/>
      <c r="AA144" s="304"/>
      <c r="AB144" s="304"/>
      <c r="AC144" s="304"/>
      <c r="AD144" s="304"/>
      <c r="AE144" s="304"/>
      <c r="AF144" s="304"/>
    </row>
    <row r="145" spans="1:32" s="22" customFormat="1" ht="24" hidden="1" customHeight="1">
      <c r="A145" s="317"/>
      <c r="B145" s="317"/>
      <c r="C145" s="318" t="s">
        <v>131</v>
      </c>
      <c r="D145" s="350" t="s">
        <v>129</v>
      </c>
      <c r="E145" s="320"/>
      <c r="F145" s="321"/>
      <c r="G145" s="322"/>
      <c r="H145" s="322"/>
      <c r="I145" s="351">
        <f t="shared" si="0"/>
        <v>0.4375</v>
      </c>
      <c r="J145" s="351"/>
      <c r="K145" s="351"/>
      <c r="L145" s="351">
        <f>Z97</f>
        <v>10.5</v>
      </c>
      <c r="M145" s="351"/>
      <c r="N145" s="352"/>
      <c r="O145" s="351">
        <f>L145*5</f>
        <v>52.5</v>
      </c>
      <c r="P145" s="353"/>
      <c r="Q145" s="354"/>
      <c r="R145" s="351">
        <f>L145*tage_</f>
        <v>262.5</v>
      </c>
      <c r="S145" s="355"/>
      <c r="T145" s="304"/>
      <c r="U145" s="304"/>
      <c r="V145" s="304"/>
      <c r="W145" s="304"/>
      <c r="X145" s="304"/>
      <c r="Y145" s="304"/>
      <c r="Z145" s="304"/>
      <c r="AA145" s="304"/>
      <c r="AB145" s="304"/>
      <c r="AC145" s="304"/>
      <c r="AD145" s="304"/>
      <c r="AE145" s="304"/>
      <c r="AF145" s="304"/>
    </row>
    <row r="146" spans="1:32" s="22" customFormat="1" ht="24" hidden="1" customHeight="1">
      <c r="A146" s="317"/>
      <c r="B146" s="317"/>
      <c r="C146" s="318"/>
      <c r="D146" s="350" t="s">
        <v>130</v>
      </c>
      <c r="E146" s="320"/>
      <c r="F146" s="321"/>
      <c r="G146" s="322"/>
      <c r="H146" s="322"/>
      <c r="I146" s="351">
        <f t="shared" si="0"/>
        <v>15.3125</v>
      </c>
      <c r="J146" s="351"/>
      <c r="K146" s="351"/>
      <c r="L146" s="356">
        <f>L145*lohn2</f>
        <v>367.5</v>
      </c>
      <c r="M146" s="351"/>
      <c r="N146" s="352"/>
      <c r="O146" s="351">
        <f>L146*5</f>
        <v>1837.5</v>
      </c>
      <c r="P146" s="353"/>
      <c r="Q146" s="354"/>
      <c r="R146" s="351">
        <f>L146*tage_</f>
        <v>9187.5</v>
      </c>
      <c r="S146" s="355"/>
      <c r="T146" s="304"/>
      <c r="U146" s="304"/>
      <c r="V146" s="304"/>
      <c r="W146" s="304"/>
      <c r="X146" s="304"/>
      <c r="Y146" s="304"/>
      <c r="Z146" s="304"/>
      <c r="AA146" s="304"/>
      <c r="AB146" s="304"/>
      <c r="AC146" s="304"/>
      <c r="AD146" s="304"/>
      <c r="AE146" s="304"/>
      <c r="AF146" s="304"/>
    </row>
    <row r="147" spans="1:32" s="22" customFormat="1" ht="24" hidden="1" customHeight="1">
      <c r="A147" s="317"/>
      <c r="B147" s="317"/>
      <c r="C147" s="318"/>
      <c r="D147" s="350" t="s">
        <v>132</v>
      </c>
      <c r="E147" s="320"/>
      <c r="F147" s="321"/>
      <c r="G147" s="322"/>
      <c r="H147" s="322"/>
      <c r="I147" s="351">
        <f t="shared" si="0"/>
        <v>55.5625</v>
      </c>
      <c r="J147" s="351"/>
      <c r="K147" s="351"/>
      <c r="L147" s="356">
        <f>L146+L144</f>
        <v>1333.5</v>
      </c>
      <c r="M147" s="351"/>
      <c r="N147" s="352"/>
      <c r="O147" s="351">
        <f>L147*5</f>
        <v>6667.5</v>
      </c>
      <c r="P147" s="353"/>
      <c r="Q147" s="354"/>
      <c r="R147" s="351">
        <f>L147*tage_</f>
        <v>33337.5</v>
      </c>
      <c r="S147" s="355"/>
      <c r="T147" s="304"/>
      <c r="U147" s="304"/>
      <c r="V147" s="304"/>
      <c r="W147" s="304"/>
      <c r="X147" s="304"/>
      <c r="Y147" s="304"/>
      <c r="Z147" s="304"/>
      <c r="AA147" s="304"/>
      <c r="AB147" s="304"/>
      <c r="AC147" s="304"/>
      <c r="AD147" s="304"/>
      <c r="AE147" s="304"/>
      <c r="AF147" s="304"/>
    </row>
    <row r="148" spans="1:32" s="22" customFormat="1" ht="24" hidden="1" customHeight="1">
      <c r="A148" s="317"/>
      <c r="B148" s="317"/>
      <c r="C148" s="318"/>
      <c r="D148" s="350" t="s">
        <v>133</v>
      </c>
      <c r="E148" s="320"/>
      <c r="F148" s="321"/>
      <c r="G148" s="322"/>
      <c r="H148" s="322"/>
      <c r="I148" s="351">
        <f t="shared" si="0"/>
        <v>0</v>
      </c>
      <c r="J148" s="351"/>
      <c r="K148" s="351"/>
      <c r="L148" s="356">
        <f>R148/tage_</f>
        <v>0</v>
      </c>
      <c r="M148" s="351"/>
      <c r="N148" s="352"/>
      <c r="O148" s="356">
        <f>R148/tage_*5</f>
        <v>0</v>
      </c>
      <c r="P148" s="353"/>
      <c r="Q148" s="354"/>
      <c r="R148" s="356">
        <f>Z111*lohn1</f>
        <v>0</v>
      </c>
      <c r="S148" s="355"/>
      <c r="T148" s="304"/>
      <c r="U148" s="304"/>
      <c r="V148" s="304"/>
      <c r="W148" s="304"/>
      <c r="X148" s="304"/>
      <c r="Y148" s="304"/>
      <c r="Z148" s="304"/>
      <c r="AA148" s="304"/>
      <c r="AB148" s="304"/>
      <c r="AC148" s="304"/>
      <c r="AD148" s="304"/>
      <c r="AE148" s="304"/>
      <c r="AF148" s="304"/>
    </row>
    <row r="149" spans="1:32" s="22" customFormat="1" ht="24" hidden="1" customHeight="1">
      <c r="A149" s="317"/>
      <c r="B149" s="317"/>
      <c r="C149" s="318"/>
      <c r="D149" s="350" t="s">
        <v>134</v>
      </c>
      <c r="E149" s="320"/>
      <c r="F149" s="321"/>
      <c r="G149" s="322"/>
      <c r="H149" s="322"/>
      <c r="I149" s="351">
        <f>I148+I147</f>
        <v>55.5625</v>
      </c>
      <c r="J149" s="351"/>
      <c r="K149" s="351"/>
      <c r="L149" s="351">
        <f>L148+L147</f>
        <v>1333.5</v>
      </c>
      <c r="M149" s="351"/>
      <c r="N149" s="352"/>
      <c r="O149" s="351">
        <f>O148+O147</f>
        <v>6667.5</v>
      </c>
      <c r="P149" s="353"/>
      <c r="Q149" s="354"/>
      <c r="R149" s="351">
        <f>R148+R147</f>
        <v>33337.5</v>
      </c>
      <c r="S149" s="355"/>
      <c r="T149" s="304"/>
      <c r="U149" s="304"/>
      <c r="V149" s="304"/>
      <c r="W149" s="304"/>
      <c r="X149" s="304"/>
      <c r="Y149" s="304"/>
      <c r="Z149" s="304"/>
      <c r="AA149" s="304"/>
      <c r="AB149" s="304"/>
      <c r="AC149" s="304"/>
      <c r="AD149" s="304"/>
      <c r="AE149" s="304"/>
      <c r="AF149" s="304"/>
    </row>
    <row r="150" spans="1:32" s="22" customFormat="1" ht="24" hidden="1" customHeight="1">
      <c r="A150" s="317"/>
      <c r="B150" s="317"/>
      <c r="C150" s="318"/>
      <c r="D150" s="350" t="s">
        <v>135</v>
      </c>
      <c r="E150" s="320"/>
      <c r="F150" s="321"/>
      <c r="G150" s="322"/>
      <c r="H150" s="322"/>
      <c r="I150" s="356">
        <f>I149*sozial</f>
        <v>10.2790625</v>
      </c>
      <c r="J150" s="351"/>
      <c r="K150" s="351"/>
      <c r="L150" s="356">
        <f>L149*sozial</f>
        <v>246.69749999999999</v>
      </c>
      <c r="M150" s="351"/>
      <c r="N150" s="352"/>
      <c r="O150" s="356">
        <f>O149*sozial</f>
        <v>1233.4875</v>
      </c>
      <c r="P150" s="353"/>
      <c r="Q150" s="354"/>
      <c r="R150" s="356">
        <f>R149*sozial</f>
        <v>6167.4375</v>
      </c>
      <c r="S150" s="355"/>
      <c r="T150" s="304"/>
      <c r="U150" s="304"/>
      <c r="V150" s="304"/>
      <c r="W150" s="304"/>
      <c r="X150" s="304"/>
      <c r="Y150" s="304"/>
      <c r="Z150" s="304"/>
      <c r="AA150" s="304"/>
      <c r="AB150" s="304"/>
      <c r="AC150" s="304"/>
      <c r="AD150" s="304"/>
      <c r="AE150" s="304"/>
      <c r="AF150" s="304"/>
    </row>
    <row r="151" spans="1:32" s="22" customFormat="1" ht="24" hidden="1" customHeight="1">
      <c r="A151" s="317"/>
      <c r="B151" s="317"/>
      <c r="C151" s="318"/>
      <c r="D151" s="350" t="s">
        <v>136</v>
      </c>
      <c r="E151" s="320"/>
      <c r="F151" s="321"/>
      <c r="G151" s="322"/>
      <c r="H151" s="322"/>
      <c r="I151" s="356">
        <f>Y111*(I149+I150)</f>
        <v>13.168312499999999</v>
      </c>
      <c r="J151" s="351"/>
      <c r="K151" s="351"/>
      <c r="L151" s="356">
        <f>Y111*(L149+L150)</f>
        <v>316.03950000000003</v>
      </c>
      <c r="M151" s="351"/>
      <c r="N151" s="352"/>
      <c r="O151" s="356">
        <f>Y111*(O149+O150)</f>
        <v>1580.1975000000002</v>
      </c>
      <c r="P151" s="353"/>
      <c r="Q151" s="354"/>
      <c r="R151" s="356">
        <f>Y111*(R149+R150)</f>
        <v>7900.9875000000002</v>
      </c>
      <c r="S151" s="355"/>
      <c r="T151" s="304"/>
      <c r="U151" s="304"/>
      <c r="V151" s="304"/>
      <c r="W151" s="304"/>
      <c r="X151" s="304"/>
      <c r="Y151" s="304"/>
      <c r="Z151" s="304"/>
      <c r="AA151" s="304"/>
      <c r="AB151" s="304"/>
      <c r="AC151" s="304"/>
      <c r="AD151" s="304"/>
      <c r="AE151" s="304"/>
      <c r="AF151" s="304"/>
    </row>
    <row r="152" spans="1:32" s="22" customFormat="1" ht="24" hidden="1" customHeight="1">
      <c r="A152" s="317"/>
      <c r="B152" s="317"/>
      <c r="C152" s="318"/>
      <c r="D152" s="350" t="s">
        <v>137</v>
      </c>
      <c r="E152" s="320"/>
      <c r="F152" s="321"/>
      <c r="G152" s="322"/>
      <c r="H152" s="322"/>
      <c r="I152" s="356">
        <f>SUM(I149:I151)</f>
        <v>79.009874999999994</v>
      </c>
      <c r="J152" s="351"/>
      <c r="K152" s="351"/>
      <c r="L152" s="356">
        <f>SUM(L149:L151)</f>
        <v>1896.2370000000001</v>
      </c>
      <c r="M152" s="351"/>
      <c r="N152" s="352"/>
      <c r="O152" s="356">
        <f>SUM(O149:O151)</f>
        <v>9481.1850000000013</v>
      </c>
      <c r="P152" s="353"/>
      <c r="Q152" s="354"/>
      <c r="R152" s="356">
        <f>SUM(R149:R151)</f>
        <v>47405.925000000003</v>
      </c>
      <c r="S152" s="355"/>
      <c r="T152" s="304"/>
      <c r="U152" s="304"/>
      <c r="V152" s="304"/>
      <c r="W152" s="304"/>
      <c r="X152" s="304"/>
      <c r="Y152" s="304"/>
      <c r="Z152" s="304"/>
      <c r="AA152" s="304"/>
      <c r="AB152" s="304"/>
      <c r="AC152" s="304"/>
      <c r="AD152" s="304"/>
      <c r="AE152" s="304"/>
      <c r="AF152" s="304"/>
    </row>
    <row r="153" spans="1:32" s="22" customFormat="1" ht="24" hidden="1" customHeight="1">
      <c r="A153" s="317"/>
      <c r="B153" s="317"/>
      <c r="C153" s="318"/>
      <c r="D153" s="350" t="s">
        <v>138</v>
      </c>
      <c r="E153" s="320"/>
      <c r="F153" s="321"/>
      <c r="G153" s="322"/>
      <c r="H153" s="322"/>
      <c r="I153" s="356">
        <f>L153/kinder_</f>
        <v>3.3333333333333335</v>
      </c>
      <c r="J153" s="351"/>
      <c r="K153" s="351"/>
      <c r="L153" s="356">
        <f>raumprotag</f>
        <v>80</v>
      </c>
      <c r="M153" s="351"/>
      <c r="N153" s="352"/>
      <c r="O153" s="356">
        <f>L153*5</f>
        <v>400</v>
      </c>
      <c r="P153" s="353"/>
      <c r="Q153" s="354"/>
      <c r="R153" s="356">
        <f>L153*tage_</f>
        <v>2000</v>
      </c>
      <c r="S153" s="355"/>
      <c r="T153" s="304"/>
      <c r="U153" s="304"/>
      <c r="V153" s="304"/>
      <c r="W153" s="304"/>
      <c r="X153" s="304"/>
      <c r="Y153" s="304"/>
      <c r="Z153" s="304"/>
      <c r="AA153" s="304"/>
      <c r="AB153" s="304"/>
      <c r="AC153" s="304"/>
      <c r="AD153" s="304"/>
      <c r="AE153" s="304"/>
      <c r="AF153" s="304"/>
    </row>
    <row r="154" spans="1:32" s="22" customFormat="1" ht="24" hidden="1" customHeight="1">
      <c r="A154" s="317"/>
      <c r="B154" s="317"/>
      <c r="C154" s="318"/>
      <c r="D154" s="350" t="s">
        <v>139</v>
      </c>
      <c r="E154" s="320"/>
      <c r="F154" s="321"/>
      <c r="G154" s="322"/>
      <c r="H154" s="322"/>
      <c r="I154" s="356">
        <f>einrichtungprokindundtag</f>
        <v>6</v>
      </c>
      <c r="J154" s="351"/>
      <c r="K154" s="351"/>
      <c r="L154" s="356">
        <f>I154*kinder_</f>
        <v>144</v>
      </c>
      <c r="M154" s="351"/>
      <c r="N154" s="352"/>
      <c r="O154" s="356">
        <f>L154*5</f>
        <v>720</v>
      </c>
      <c r="P154" s="353"/>
      <c r="Q154" s="354"/>
      <c r="R154" s="356">
        <f>L154*tage_</f>
        <v>3600</v>
      </c>
      <c r="S154" s="355"/>
      <c r="T154" s="304"/>
      <c r="U154" s="304"/>
      <c r="V154" s="304"/>
      <c r="W154" s="304"/>
      <c r="X154" s="304"/>
      <c r="Y154" s="304"/>
      <c r="Z154" s="304"/>
      <c r="AA154" s="304"/>
      <c r="AB154" s="304"/>
      <c r="AC154" s="304"/>
      <c r="AD154" s="304"/>
      <c r="AE154" s="304"/>
      <c r="AF154" s="304"/>
    </row>
    <row r="155" spans="1:32" s="22" customFormat="1" ht="24" hidden="1" customHeight="1">
      <c r="A155" s="317"/>
      <c r="B155" s="317"/>
      <c r="C155" s="318"/>
      <c r="D155" s="350" t="s">
        <v>140</v>
      </c>
      <c r="E155" s="320"/>
      <c r="F155" s="321"/>
      <c r="G155" s="322"/>
      <c r="H155" s="322"/>
      <c r="I155" s="356">
        <f>L155/kinder_</f>
        <v>5.625</v>
      </c>
      <c r="J155" s="351"/>
      <c r="K155" s="351"/>
      <c r="L155" s="356">
        <f>ausflugpropersonundtag*(kinder_+personen)</f>
        <v>135</v>
      </c>
      <c r="M155" s="351"/>
      <c r="N155" s="352"/>
      <c r="O155" s="356">
        <f>L155*5</f>
        <v>675</v>
      </c>
      <c r="P155" s="353"/>
      <c r="Q155" s="354"/>
      <c r="R155" s="356">
        <f>L155*tage_</f>
        <v>3375</v>
      </c>
      <c r="S155" s="355"/>
      <c r="T155" s="304"/>
      <c r="U155" s="304"/>
      <c r="V155" s="304"/>
      <c r="W155" s="304"/>
      <c r="X155" s="304"/>
      <c r="Y155" s="304"/>
      <c r="Z155" s="304"/>
      <c r="AA155" s="304"/>
      <c r="AB155" s="304"/>
      <c r="AC155" s="304"/>
      <c r="AD155" s="304"/>
      <c r="AE155" s="304"/>
      <c r="AF155" s="304"/>
    </row>
    <row r="156" spans="1:32" s="22" customFormat="1" ht="24" hidden="1" customHeight="1">
      <c r="A156" s="317"/>
      <c r="B156" s="317"/>
      <c r="C156" s="318"/>
      <c r="D156" s="350" t="s">
        <v>141</v>
      </c>
      <c r="E156" s="320"/>
      <c r="F156" s="321"/>
      <c r="G156" s="322"/>
      <c r="H156" s="322"/>
      <c r="I156" s="356">
        <f>L156/kinder_</f>
        <v>11.25</v>
      </c>
      <c r="J156" s="351"/>
      <c r="K156" s="351"/>
      <c r="L156" s="356">
        <f>(kinder_+personen)*verpflegung</f>
        <v>270</v>
      </c>
      <c r="M156" s="351"/>
      <c r="N156" s="352"/>
      <c r="O156" s="356">
        <f>L156*5</f>
        <v>1350</v>
      </c>
      <c r="P156" s="353"/>
      <c r="Q156" s="354"/>
      <c r="R156" s="356">
        <f>L156*tage_</f>
        <v>6750</v>
      </c>
      <c r="S156" s="355"/>
      <c r="T156" s="304"/>
      <c r="U156" s="304"/>
      <c r="V156" s="304"/>
      <c r="W156" s="304"/>
      <c r="X156" s="304"/>
      <c r="Y156" s="304"/>
      <c r="Z156" s="304"/>
      <c r="AA156" s="304"/>
      <c r="AB156" s="304"/>
      <c r="AC156" s="304"/>
      <c r="AD156" s="304"/>
      <c r="AE156" s="304"/>
      <c r="AF156" s="304"/>
    </row>
    <row r="157" spans="1:32" s="22" customFormat="1" ht="24" hidden="1" customHeight="1">
      <c r="A157" s="317"/>
      <c r="B157" s="317"/>
      <c r="C157" s="318"/>
      <c r="D157" s="350" t="s">
        <v>149</v>
      </c>
      <c r="E157" s="320"/>
      <c r="F157" s="321"/>
      <c r="G157" s="322"/>
      <c r="H157" s="322"/>
      <c r="I157" s="356">
        <f>L157/kinder_</f>
        <v>0</v>
      </c>
      <c r="J157" s="351"/>
      <c r="K157" s="351"/>
      <c r="L157" s="356">
        <f>R157/tage_</f>
        <v>0</v>
      </c>
      <c r="M157" s="351"/>
      <c r="N157" s="352"/>
      <c r="O157" s="356">
        <f>L157*5</f>
        <v>0</v>
      </c>
      <c r="P157" s="353"/>
      <c r="Q157" s="354"/>
      <c r="R157" s="356">
        <f>O45</f>
        <v>0</v>
      </c>
      <c r="S157" s="355"/>
      <c r="T157" s="304"/>
      <c r="U157" s="304"/>
      <c r="V157" s="304"/>
      <c r="W157" s="304"/>
      <c r="X157" s="304"/>
      <c r="Y157" s="304"/>
      <c r="Z157" s="304"/>
      <c r="AA157" s="304"/>
      <c r="AB157" s="304"/>
      <c r="AC157" s="304"/>
      <c r="AD157" s="304"/>
      <c r="AE157" s="304"/>
      <c r="AF157" s="304"/>
    </row>
    <row r="158" spans="1:32" s="22" customFormat="1" ht="24" hidden="1" customHeight="1">
      <c r="A158" s="317"/>
      <c r="B158" s="317"/>
      <c r="C158" s="318"/>
      <c r="D158" s="350" t="s">
        <v>142</v>
      </c>
      <c r="E158" s="320"/>
      <c r="F158" s="321"/>
      <c r="G158" s="322"/>
      <c r="H158" s="322"/>
      <c r="I158" s="356">
        <f>SUM(I152:I157)</f>
        <v>105.21820833333332</v>
      </c>
      <c r="J158" s="351"/>
      <c r="K158" s="351"/>
      <c r="L158" s="356">
        <f>SUM(L152:L157)</f>
        <v>2525.2370000000001</v>
      </c>
      <c r="M158" s="351"/>
      <c r="N158" s="352"/>
      <c r="O158" s="356">
        <f>SUM(O152:O157)</f>
        <v>12626.185000000001</v>
      </c>
      <c r="P158" s="353"/>
      <c r="Q158" s="354"/>
      <c r="R158" s="356">
        <f>SUM(R152:R157)</f>
        <v>63130.925000000003</v>
      </c>
      <c r="S158" s="355"/>
      <c r="T158" s="304"/>
      <c r="U158" s="304"/>
      <c r="V158" s="304"/>
      <c r="W158" s="304"/>
      <c r="X158" s="304"/>
      <c r="Y158" s="304"/>
      <c r="Z158" s="304"/>
      <c r="AA158" s="304"/>
      <c r="AB158" s="304"/>
      <c r="AC158" s="304"/>
      <c r="AD158" s="304"/>
      <c r="AE158" s="304"/>
      <c r="AF158" s="304"/>
    </row>
    <row r="159" spans="1:32" s="22" customFormat="1" ht="24" hidden="1" customHeight="1">
      <c r="A159" s="317"/>
      <c r="B159" s="317"/>
      <c r="C159" s="318"/>
      <c r="D159" s="350" t="s">
        <v>143</v>
      </c>
      <c r="E159" s="320"/>
      <c r="F159" s="321"/>
      <c r="G159" s="322"/>
      <c r="H159" s="322"/>
      <c r="I159" s="356">
        <f>eltern_</f>
        <v>25</v>
      </c>
      <c r="J159" s="351"/>
      <c r="K159" s="351"/>
      <c r="L159" s="356">
        <f>I159*kinder_</f>
        <v>600</v>
      </c>
      <c r="M159" s="351"/>
      <c r="N159" s="352"/>
      <c r="O159" s="356">
        <f>L159*5</f>
        <v>3000</v>
      </c>
      <c r="P159" s="353"/>
      <c r="Q159" s="354"/>
      <c r="R159" s="356">
        <f>L159*tage_</f>
        <v>15000</v>
      </c>
      <c r="S159" s="355"/>
      <c r="T159" s="304"/>
      <c r="U159" s="304"/>
      <c r="V159" s="304"/>
      <c r="W159" s="304"/>
      <c r="X159" s="304"/>
      <c r="Y159" s="304"/>
      <c r="Z159" s="304"/>
      <c r="AA159" s="304"/>
      <c r="AB159" s="304"/>
      <c r="AC159" s="304"/>
      <c r="AD159" s="304"/>
      <c r="AE159" s="304"/>
      <c r="AF159" s="304"/>
    </row>
    <row r="160" spans="1:32" s="22" customFormat="1" ht="24" hidden="1" customHeight="1">
      <c r="A160" s="317"/>
      <c r="B160" s="317"/>
      <c r="C160" s="318"/>
      <c r="D160" s="350" t="s">
        <v>144</v>
      </c>
      <c r="E160" s="320"/>
      <c r="F160" s="321"/>
      <c r="G160" s="322"/>
      <c r="H160" s="322"/>
      <c r="I160" s="356">
        <f>IF(G33=AD30,gemeinde,gemeinde/tage_/kinder_)</f>
        <v>50</v>
      </c>
      <c r="J160" s="351"/>
      <c r="K160" s="351"/>
      <c r="L160" s="356">
        <f>I160*kinder_</f>
        <v>1200</v>
      </c>
      <c r="M160" s="351"/>
      <c r="N160" s="352"/>
      <c r="O160" s="356">
        <f>L160*5</f>
        <v>6000</v>
      </c>
      <c r="P160" s="353"/>
      <c r="Q160" s="354"/>
      <c r="R160" s="356">
        <f>L160*tage_</f>
        <v>30000</v>
      </c>
      <c r="S160" s="355"/>
      <c r="T160" s="304"/>
      <c r="U160" s="304"/>
      <c r="V160" s="304"/>
      <c r="W160" s="304"/>
      <c r="X160" s="304"/>
      <c r="Y160" s="304"/>
      <c r="Z160" s="304"/>
      <c r="AA160" s="304"/>
      <c r="AB160" s="304"/>
      <c r="AC160" s="304"/>
      <c r="AD160" s="304"/>
      <c r="AE160" s="304"/>
      <c r="AF160" s="304"/>
    </row>
    <row r="161" spans="1:33" s="22" customFormat="1" ht="24" hidden="1" customHeight="1">
      <c r="A161" s="317"/>
      <c r="B161" s="317"/>
      <c r="C161" s="318"/>
      <c r="D161" s="350" t="s">
        <v>145</v>
      </c>
      <c r="E161" s="320"/>
      <c r="F161" s="321"/>
      <c r="G161" s="322"/>
      <c r="H161" s="322"/>
      <c r="I161" s="356">
        <f>kanton</f>
        <v>30</v>
      </c>
      <c r="J161" s="351"/>
      <c r="K161" s="351"/>
      <c r="L161" s="356">
        <f>I161*kinder_</f>
        <v>720</v>
      </c>
      <c r="M161" s="351"/>
      <c r="N161" s="352"/>
      <c r="O161" s="356">
        <f>L161*5</f>
        <v>3600</v>
      </c>
      <c r="P161" s="353"/>
      <c r="Q161" s="354"/>
      <c r="R161" s="356">
        <f>L161*tage_</f>
        <v>18000</v>
      </c>
      <c r="S161" s="355"/>
      <c r="T161" s="304"/>
      <c r="U161" s="304"/>
      <c r="V161" s="304"/>
      <c r="W161" s="304"/>
      <c r="X161" s="304"/>
      <c r="Y161" s="304"/>
      <c r="Z161" s="304"/>
      <c r="AA161" s="304"/>
      <c r="AB161" s="304"/>
      <c r="AC161" s="304"/>
      <c r="AD161" s="304"/>
      <c r="AE161" s="304"/>
      <c r="AF161" s="304"/>
    </row>
    <row r="162" spans="1:33" s="22" customFormat="1" ht="24" hidden="1" customHeight="1">
      <c r="A162" s="317"/>
      <c r="B162" s="317"/>
      <c r="C162" s="318"/>
      <c r="D162" s="350" t="s">
        <v>72</v>
      </c>
      <c r="E162" s="320"/>
      <c r="F162" s="321"/>
      <c r="G162" s="322"/>
      <c r="H162" s="322"/>
      <c r="I162" s="356">
        <f>L162/kinder_</f>
        <v>0</v>
      </c>
      <c r="J162" s="351"/>
      <c r="K162" s="351"/>
      <c r="L162" s="356">
        <f>R162/tage_</f>
        <v>0</v>
      </c>
      <c r="M162" s="351"/>
      <c r="N162" s="352"/>
      <c r="O162" s="356">
        <f>L162*5</f>
        <v>0</v>
      </c>
      <c r="P162" s="353"/>
      <c r="Q162" s="354"/>
      <c r="R162" s="356">
        <f>O54</f>
        <v>0</v>
      </c>
      <c r="S162" s="355"/>
      <c r="T162" s="304"/>
      <c r="U162" s="304"/>
      <c r="V162" s="304"/>
      <c r="W162" s="304"/>
      <c r="X162" s="304"/>
      <c r="Y162" s="304"/>
      <c r="Z162" s="304"/>
      <c r="AA162" s="304"/>
      <c r="AB162" s="304"/>
      <c r="AC162" s="304"/>
      <c r="AD162" s="304"/>
      <c r="AE162" s="304"/>
      <c r="AF162" s="304"/>
    </row>
    <row r="163" spans="1:33" s="22" customFormat="1" ht="24" hidden="1" customHeight="1">
      <c r="A163" s="317"/>
      <c r="B163" s="317"/>
      <c r="C163" s="318"/>
      <c r="D163" s="350" t="s">
        <v>74</v>
      </c>
      <c r="E163" s="320"/>
      <c r="F163" s="321"/>
      <c r="G163" s="322"/>
      <c r="H163" s="322"/>
      <c r="I163" s="356">
        <f>L163/kinder_</f>
        <v>50.218208333333337</v>
      </c>
      <c r="J163" s="351"/>
      <c r="K163" s="351"/>
      <c r="L163" s="356">
        <f>R163/tage_</f>
        <v>1205.2370000000001</v>
      </c>
      <c r="M163" s="351"/>
      <c r="N163" s="352"/>
      <c r="O163" s="356">
        <f>L163*5</f>
        <v>6026.1850000000004</v>
      </c>
      <c r="P163" s="353"/>
      <c r="Q163" s="354"/>
      <c r="R163" s="356">
        <f>R158-O51-O52-O54</f>
        <v>30130.925000000003</v>
      </c>
      <c r="S163" s="355"/>
      <c r="T163" s="304"/>
      <c r="U163" s="304"/>
      <c r="V163" s="304"/>
      <c r="W163" s="304"/>
      <c r="X163" s="304"/>
      <c r="Y163" s="304"/>
      <c r="Z163" s="304"/>
      <c r="AA163" s="304"/>
      <c r="AB163" s="304"/>
      <c r="AC163" s="304"/>
      <c r="AD163" s="304"/>
      <c r="AE163" s="304"/>
      <c r="AF163" s="304"/>
    </row>
    <row r="164" spans="1:33" s="22" customFormat="1">
      <c r="A164" s="306"/>
      <c r="B164" s="306"/>
      <c r="C164" s="334"/>
      <c r="D164" s="332"/>
      <c r="E164" s="332"/>
      <c r="F164" s="306"/>
      <c r="G164" s="306"/>
      <c r="H164" s="306"/>
      <c r="I164" s="306"/>
      <c r="J164" s="306"/>
      <c r="K164" s="306"/>
      <c r="L164" s="306"/>
      <c r="M164" s="306"/>
      <c r="N164" s="306"/>
      <c r="O164" s="306"/>
      <c r="P164" s="306"/>
      <c r="Q164" s="306"/>
      <c r="R164" s="306"/>
      <c r="S164" s="304"/>
      <c r="T164" s="304"/>
      <c r="U164" s="304"/>
      <c r="V164" s="304"/>
      <c r="W164" s="304"/>
      <c r="X164" s="304"/>
      <c r="Y164" s="304"/>
      <c r="Z164" s="304"/>
      <c r="AA164" s="304"/>
      <c r="AB164" s="304"/>
      <c r="AC164" s="304"/>
      <c r="AD164" s="304"/>
      <c r="AE164" s="304"/>
      <c r="AF164" s="304"/>
    </row>
    <row r="165" spans="1:33" s="22" customFormat="1">
      <c r="A165" s="306"/>
      <c r="B165" s="306"/>
      <c r="C165" s="334"/>
      <c r="D165" s="332"/>
      <c r="E165" s="332"/>
      <c r="F165" s="306"/>
      <c r="G165" s="306"/>
      <c r="H165" s="306"/>
      <c r="I165" s="306"/>
      <c r="J165" s="306"/>
      <c r="K165" s="306"/>
      <c r="L165" s="306"/>
      <c r="M165" s="306"/>
      <c r="N165" s="306"/>
      <c r="O165" s="306"/>
      <c r="P165" s="306"/>
      <c r="Q165" s="306"/>
      <c r="R165" s="306"/>
      <c r="S165" s="304"/>
      <c r="T165" s="304"/>
      <c r="U165" s="304"/>
      <c r="V165" s="304"/>
      <c r="W165" s="304"/>
      <c r="X165" s="304"/>
      <c r="Y165" s="304"/>
      <c r="Z165" s="304"/>
      <c r="AA165" s="304"/>
      <c r="AB165" s="304"/>
      <c r="AC165" s="304"/>
      <c r="AD165" s="304"/>
      <c r="AE165" s="304"/>
      <c r="AF165" s="304"/>
    </row>
    <row r="166" spans="1:33" s="22" customFormat="1">
      <c r="A166" s="306"/>
      <c r="B166" s="306"/>
      <c r="C166" s="334"/>
      <c r="D166" s="332"/>
      <c r="E166" s="332"/>
      <c r="F166" s="306"/>
      <c r="G166" s="306"/>
      <c r="H166" s="306"/>
      <c r="I166" s="306"/>
      <c r="J166" s="306"/>
      <c r="K166" s="306"/>
      <c r="L166" s="306"/>
      <c r="M166" s="306"/>
      <c r="N166" s="306"/>
      <c r="O166" s="306"/>
      <c r="P166" s="306"/>
      <c r="Q166" s="306"/>
      <c r="R166" s="306"/>
      <c r="S166" s="304"/>
      <c r="T166" s="304"/>
      <c r="U166" s="304"/>
      <c r="V166" s="304"/>
      <c r="W166" s="304"/>
      <c r="X166" s="304"/>
      <c r="Y166" s="304"/>
      <c r="Z166" s="304"/>
      <c r="AA166" s="304"/>
      <c r="AB166" s="304"/>
      <c r="AC166" s="304"/>
      <c r="AD166" s="304"/>
      <c r="AE166" s="304"/>
      <c r="AF166" s="304"/>
    </row>
    <row r="167" spans="1:33" s="22" customFormat="1">
      <c r="A167" s="306"/>
      <c r="B167" s="306"/>
      <c r="C167" s="334"/>
      <c r="D167" s="332"/>
      <c r="E167" s="332"/>
      <c r="F167" s="306"/>
      <c r="G167" s="306"/>
      <c r="H167" s="306"/>
      <c r="I167" s="306"/>
      <c r="J167" s="306"/>
      <c r="K167" s="306"/>
      <c r="L167" s="306"/>
      <c r="M167" s="306"/>
      <c r="N167" s="306"/>
      <c r="O167" s="306"/>
      <c r="P167" s="306"/>
      <c r="Q167" s="306"/>
      <c r="R167" s="306"/>
      <c r="S167" s="304"/>
      <c r="T167" s="304"/>
      <c r="U167" s="304"/>
      <c r="V167" s="304"/>
      <c r="W167" s="304"/>
      <c r="X167" s="304"/>
      <c r="Y167" s="304"/>
      <c r="Z167" s="304"/>
      <c r="AA167" s="304"/>
      <c r="AB167" s="304"/>
      <c r="AC167" s="304"/>
      <c r="AD167" s="304"/>
      <c r="AE167" s="304"/>
      <c r="AF167" s="304"/>
    </row>
    <row r="168" spans="1:33" s="22" customFormat="1">
      <c r="A168" s="306"/>
      <c r="B168" s="306"/>
      <c r="C168" s="334"/>
      <c r="D168" s="332"/>
      <c r="E168" s="332"/>
      <c r="F168" s="306"/>
      <c r="G168" s="306"/>
      <c r="H168" s="306"/>
      <c r="I168" s="306"/>
      <c r="J168" s="306"/>
      <c r="K168" s="306"/>
      <c r="L168" s="306"/>
      <c r="M168" s="306"/>
      <c r="N168" s="306"/>
      <c r="O168" s="306"/>
      <c r="P168" s="306"/>
      <c r="Q168" s="306"/>
      <c r="R168" s="306"/>
      <c r="S168" s="304"/>
      <c r="T168" s="304"/>
      <c r="U168" s="304"/>
      <c r="V168" s="304"/>
      <c r="W168" s="304"/>
      <c r="X168" s="304"/>
      <c r="Y168" s="304"/>
      <c r="Z168" s="304"/>
      <c r="AA168" s="304"/>
      <c r="AB168" s="304"/>
      <c r="AC168" s="304"/>
      <c r="AD168" s="304"/>
      <c r="AE168" s="304"/>
      <c r="AF168" s="304"/>
    </row>
    <row r="169" spans="1:33" s="22" customFormat="1">
      <c r="A169" s="306"/>
      <c r="B169" s="306"/>
      <c r="C169" s="334"/>
      <c r="D169" s="332"/>
      <c r="E169" s="332"/>
      <c r="F169" s="306"/>
      <c r="G169" s="306"/>
      <c r="H169" s="306"/>
      <c r="I169" s="306"/>
      <c r="J169" s="306"/>
      <c r="K169" s="306"/>
      <c r="L169" s="306"/>
      <c r="M169" s="306"/>
      <c r="N169" s="306"/>
      <c r="O169" s="306"/>
      <c r="P169" s="306"/>
      <c r="Q169" s="306"/>
      <c r="R169" s="306"/>
      <c r="S169" s="304"/>
      <c r="T169" s="304"/>
      <c r="U169" s="304"/>
      <c r="V169" s="304"/>
      <c r="W169" s="304"/>
      <c r="X169" s="304"/>
      <c r="Y169" s="304"/>
      <c r="Z169" s="304"/>
      <c r="AA169" s="304"/>
      <c r="AB169" s="304"/>
      <c r="AC169" s="304"/>
      <c r="AD169" s="304"/>
      <c r="AE169" s="304"/>
      <c r="AF169" s="304"/>
    </row>
    <row r="170" spans="1:33">
      <c r="AF170" s="22"/>
      <c r="AG170" s="22"/>
    </row>
    <row r="171" spans="1:33">
      <c r="AF171" s="22"/>
      <c r="AG171" s="22"/>
    </row>
    <row r="172" spans="1:33">
      <c r="AF172" s="22"/>
      <c r="AG172" s="22"/>
    </row>
    <row r="173" spans="1:33">
      <c r="AF173" s="22"/>
      <c r="AG173" s="22"/>
    </row>
    <row r="174" spans="1:33">
      <c r="AF174" s="22"/>
      <c r="AG174" s="22"/>
    </row>
    <row r="175" spans="1:33">
      <c r="AF175" s="22"/>
      <c r="AG175" s="22"/>
    </row>
  </sheetData>
  <sheetProtection sheet="1" objects="1" formatRows="0" selectLockedCells="1"/>
  <mergeCells count="46">
    <mergeCell ref="Q52:S52"/>
    <mergeCell ref="Q51:V51"/>
    <mergeCell ref="Q53:V58"/>
    <mergeCell ref="N39:O39"/>
    <mergeCell ref="P16:P18"/>
    <mergeCell ref="U27:X36"/>
    <mergeCell ref="E17:H18"/>
    <mergeCell ref="K39:L39"/>
    <mergeCell ref="Q16:S18"/>
    <mergeCell ref="Q29:S29"/>
    <mergeCell ref="G33:H33"/>
    <mergeCell ref="G29:I30"/>
    <mergeCell ref="I17:I18"/>
    <mergeCell ref="F25:G25"/>
    <mergeCell ref="K24:L25"/>
    <mergeCell ref="E45:G45"/>
    <mergeCell ref="S117:U117"/>
    <mergeCell ref="Q30:S30"/>
    <mergeCell ref="S111:W111"/>
    <mergeCell ref="L6:O6"/>
    <mergeCell ref="L97:N97"/>
    <mergeCell ref="O97:R97"/>
    <mergeCell ref="S97:V97"/>
    <mergeCell ref="K14:N15"/>
    <mergeCell ref="Q14:S15"/>
    <mergeCell ref="Q31:S31"/>
    <mergeCell ref="C7:K7"/>
    <mergeCell ref="M10:O10"/>
    <mergeCell ref="C6:K6"/>
    <mergeCell ref="E14:I15"/>
    <mergeCell ref="H39:I39"/>
    <mergeCell ref="O134:Q134"/>
    <mergeCell ref="E60:O60"/>
    <mergeCell ref="O125:Q125"/>
    <mergeCell ref="O126:Q126"/>
    <mergeCell ref="O127:Q127"/>
    <mergeCell ref="O133:Q133"/>
    <mergeCell ref="O124:Q124"/>
    <mergeCell ref="E89:M89"/>
    <mergeCell ref="E61:O61"/>
    <mergeCell ref="E69:M70"/>
    <mergeCell ref="J108:R109"/>
    <mergeCell ref="O132:Q132"/>
    <mergeCell ref="D94:H95"/>
    <mergeCell ref="D98:E99"/>
    <mergeCell ref="Q59:U60"/>
  </mergeCells>
  <phoneticPr fontId="2" type="noConversion"/>
  <conditionalFormatting sqref="C17:D18 C16 C19:C20">
    <cfRule type="expression" dxfId="8" priority="18">
      <formula>IF(_xlfn.ISFORMULA(C16)=TRUE,TRUE,FALSE)</formula>
    </cfRule>
  </conditionalFormatting>
  <conditionalFormatting sqref="D16">
    <cfRule type="expression" dxfId="7" priority="17">
      <formula>IF(_xlfn.ISFORMULA(D16)=TRUE,TRUE,FALSE)</formula>
    </cfRule>
  </conditionalFormatting>
  <conditionalFormatting sqref="O15">
    <cfRule type="expression" dxfId="6" priority="16">
      <formula>IF(_xlfn.ISFORMULA(O15)=TRUE,TRUE,FALSE)</formula>
    </cfRule>
  </conditionalFormatting>
  <conditionalFormatting sqref="C15:D15">
    <cfRule type="expression" dxfId="5" priority="15">
      <formula>IF(_xlfn.ISFORMULA(C15)=TRUE,TRUE,FALSE)</formula>
    </cfRule>
  </conditionalFormatting>
  <conditionalFormatting sqref="O22">
    <cfRule type="expression" dxfId="4" priority="14">
      <formula>IF(_xlfn.ISFORMULA(O22)=TRUE,TRUE,FALSE)</formula>
    </cfRule>
  </conditionalFormatting>
  <conditionalFormatting sqref="O54">
    <cfRule type="expression" dxfId="3" priority="7">
      <formula>IF(_xlfn.ISFORMULA(O54)=TRUE,TRUE,FALSE)</formula>
    </cfRule>
  </conditionalFormatting>
  <conditionalFormatting sqref="O75">
    <cfRule type="expression" dxfId="2" priority="5">
      <formula>IF($S$111=$J$112,TRUE,FALSE)</formula>
    </cfRule>
  </conditionalFormatting>
  <conditionalFormatting sqref="L124:L134">
    <cfRule type="expression" dxfId="1" priority="2">
      <formula>IF(AND(L124&lt;1,L124&gt;-1),TRUE,FALSE)</formula>
    </cfRule>
  </conditionalFormatting>
  <conditionalFormatting sqref="E33:F33">
    <cfRule type="expression" dxfId="0" priority="1">
      <formula>IF($G$33=$AD$32,TRUE,FALSE)</formula>
    </cfRule>
  </conditionalFormatting>
  <dataValidations count="11">
    <dataValidation allowBlank="1" showErrorMessage="1" sqref="O21:P22 R21:R22 I100:I106"/>
    <dataValidation type="list" allowBlank="1" showInputMessage="1" showErrorMessage="1" sqref="Q30:S30">
      <formula1>$Y$29:$Y$32</formula1>
    </dataValidation>
    <dataValidation type="list" allowBlank="1" showInputMessage="1" showErrorMessage="1" sqref="Q29">
      <formula1>$Y$30:$Y$32</formula1>
    </dataValidation>
    <dataValidation type="list" allowBlank="1" showInputMessage="1" showErrorMessage="1" sqref="Q31:S31">
      <formula1>$AA$29:$AA$32</formula1>
    </dataValidation>
    <dataValidation type="list" allowBlank="1" showInputMessage="1" showErrorMessage="1" sqref="K39:L39">
      <formula1>$AC$30:$AC$31</formula1>
    </dataValidation>
    <dataValidation type="list" allowBlank="1" showInputMessage="1" showErrorMessage="1" sqref="S97">
      <formula1>$Y$98:$Y$99</formula1>
    </dataValidation>
    <dataValidation type="list" allowBlank="1" showInputMessage="1" showErrorMessage="1" sqref="S111">
      <formula1>$J$112:$J$114</formula1>
    </dataValidation>
    <dataValidation type="list" allowBlank="1" showInputMessage="1" showErrorMessage="1" sqref="S92">
      <formula1>$Y$93:$Y$94</formula1>
    </dataValidation>
    <dataValidation type="list" allowBlank="1" showInputMessage="1" showErrorMessage="1" sqref="S121">
      <formula1>$Y$122:$Y$123</formula1>
    </dataValidation>
    <dataValidation type="list" allowBlank="1" showInputMessage="1" showErrorMessage="1" sqref="G33:H33">
      <formula1>$AD$30:$AD$32</formula1>
    </dataValidation>
    <dataValidation type="list" allowBlank="1" showInputMessage="1" showErrorMessage="1" sqref="Q52:S52">
      <formula1>$Y$50:$Y$51</formula1>
    </dataValidation>
  </dataValidations>
  <hyperlinks>
    <hyperlink ref="L6" r:id="rId1" display="www.be.ch/ferienbetreuung"/>
    <hyperlink ref="L6:O6" r:id="rId2" display="www.be.ch/accueil-vacances"/>
    <hyperlink ref="Q51" r:id="rId3" display="https://www.belex.sites.be.ch/data/432.210/art49a1"/>
    <hyperlink ref="Q51:S51" r:id="rId4" display="Subventions cantonales : art. 49a1 LEO"/>
    <hyperlink ref="Q51:U51" r:id="rId5" display="Subventions cantonales - conditions : art. 49a1 LEO"/>
  </hyperlinks>
  <pageMargins left="0.78740157480314965" right="0.15748031496062992" top="0.55118110236220474" bottom="0.32" header="0.51181102362204722" footer="0.39"/>
  <pageSetup paperSize="9" fitToHeight="0" orientation="landscape" blackAndWhite="1" r:id="rId6"/>
  <headerFooter alignWithMargins="0"/>
  <rowBreaks count="1" manualBreakCount="1">
    <brk id="61" max="16383" man="1"/>
  </rowBreaks>
  <drawing r:id="rId7"/>
  <legacyDrawing r:id="rId8"/>
  <mc:AlternateContent xmlns:mc="http://schemas.openxmlformats.org/markup-compatibility/2006">
    <mc:Choice Requires="x14">
      <controls>
        <mc:AlternateContent xmlns:mc="http://schemas.openxmlformats.org/markup-compatibility/2006">
          <mc:Choice Requires="x14">
            <control shapeId="21505" r:id="rId9" name="Scroll Bar 1">
              <controlPr defaultSize="0" print="0" autoPict="0">
                <anchor moveWithCells="1">
                  <from>
                    <xdr:col>2</xdr:col>
                    <xdr:colOff>390525</xdr:colOff>
                    <xdr:row>21</xdr:row>
                    <xdr:rowOff>114300</xdr:rowOff>
                  </from>
                  <to>
                    <xdr:col>4</xdr:col>
                    <xdr:colOff>390525</xdr:colOff>
                    <xdr:row>22</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8"/>
  <sheetViews>
    <sheetView zoomScale="200" zoomScaleNormal="98" zoomScalePageLayoutView="98" workbookViewId="0">
      <pane xSplit="1" topLeftCell="AI1" activePane="topRight" state="frozen"/>
      <selection activeCell="A3" sqref="A3"/>
      <selection pane="topRight" activeCell="AP1" sqref="AP1:AS65536"/>
    </sheetView>
  </sheetViews>
  <sheetFormatPr baseColWidth="10" defaultColWidth="10.85546875" defaultRowHeight="12.75"/>
  <cols>
    <col min="1" max="1" width="28.28515625" style="5" customWidth="1"/>
    <col min="2" max="2" width="5.42578125" style="5" customWidth="1"/>
    <col min="3" max="8" width="4.85546875" style="2" customWidth="1"/>
    <col min="9" max="12" width="4.85546875" style="2" hidden="1" customWidth="1"/>
    <col min="13" max="13" width="4.85546875" style="2" customWidth="1"/>
    <col min="14" max="19" width="4.85546875" style="6" customWidth="1"/>
    <col min="20" max="23" width="4.85546875" style="6" hidden="1" customWidth="1"/>
    <col min="24" max="27" width="4.85546875" style="6" customWidth="1"/>
    <col min="28" max="30" width="4.85546875" style="2" customWidth="1"/>
    <col min="31" max="34" width="4.85546875" style="2" hidden="1" customWidth="1"/>
    <col min="35" max="57" width="4.85546875" style="2" customWidth="1"/>
    <col min="58" max="16384" width="10.85546875" style="2"/>
  </cols>
  <sheetData>
    <row r="1" spans="1:57">
      <c r="A1" s="5" t="e">
        <f>#REF!</f>
        <v>#REF!</v>
      </c>
    </row>
    <row r="2" spans="1:57" ht="15" customHeight="1">
      <c r="A2" s="5" t="e">
        <f>#REF!</f>
        <v>#REF!</v>
      </c>
    </row>
    <row r="3" spans="1:57" ht="15.75">
      <c r="A3" s="7"/>
      <c r="B3" s="7"/>
    </row>
    <row r="4" spans="1:57" s="1" customFormat="1" ht="15.75">
      <c r="A4" s="7" t="s">
        <v>3</v>
      </c>
      <c r="B4" s="7"/>
      <c r="N4" s="6"/>
      <c r="O4" s="6"/>
      <c r="P4" s="6"/>
      <c r="Q4" s="6"/>
      <c r="R4" s="6"/>
      <c r="S4" s="6"/>
      <c r="T4" s="6"/>
      <c r="U4" s="6"/>
      <c r="V4" s="6"/>
      <c r="W4" s="6"/>
      <c r="X4" s="6"/>
      <c r="Y4" s="6"/>
      <c r="Z4" s="6"/>
      <c r="AA4" s="6"/>
    </row>
    <row r="6" spans="1:57">
      <c r="A6" s="16" t="s">
        <v>4</v>
      </c>
      <c r="C6" s="9" t="s">
        <v>21</v>
      </c>
      <c r="D6" s="10"/>
      <c r="E6" s="10"/>
      <c r="F6" s="10"/>
      <c r="G6" s="10"/>
      <c r="H6" s="10"/>
      <c r="I6" s="10"/>
      <c r="J6" s="10"/>
      <c r="K6" s="10"/>
      <c r="L6" s="10"/>
      <c r="M6" s="11"/>
      <c r="N6" s="9" t="s">
        <v>18</v>
      </c>
      <c r="O6" s="10"/>
      <c r="P6" s="10"/>
      <c r="Q6" s="10"/>
      <c r="R6" s="10"/>
      <c r="S6" s="10"/>
      <c r="T6" s="10"/>
      <c r="U6" s="10"/>
      <c r="V6" s="10"/>
      <c r="W6" s="10"/>
      <c r="X6" s="11"/>
      <c r="Y6" s="9" t="s">
        <v>19</v>
      </c>
      <c r="Z6" s="10"/>
      <c r="AA6" s="10"/>
      <c r="AB6" s="10"/>
      <c r="AC6" s="10"/>
      <c r="AD6" s="10"/>
      <c r="AE6" s="10"/>
      <c r="AF6" s="10"/>
      <c r="AG6" s="10"/>
      <c r="AH6" s="10"/>
      <c r="AI6" s="11"/>
      <c r="AJ6" s="9" t="s">
        <v>20</v>
      </c>
      <c r="AK6" s="10"/>
      <c r="AL6" s="10"/>
      <c r="AM6" s="10"/>
      <c r="AN6" s="10"/>
      <c r="AO6" s="10"/>
      <c r="AP6" s="10"/>
      <c r="AQ6" s="10"/>
      <c r="AR6" s="10"/>
      <c r="AS6" s="10"/>
      <c r="AT6" s="11"/>
      <c r="AU6" s="9" t="s">
        <v>2</v>
      </c>
      <c r="AV6" s="10"/>
      <c r="AW6" s="10"/>
      <c r="AX6" s="10"/>
      <c r="AY6" s="10"/>
      <c r="AZ6" s="10"/>
      <c r="BA6" s="10"/>
      <c r="BB6" s="10"/>
      <c r="BC6" s="10"/>
      <c r="BD6" s="10"/>
      <c r="BE6" s="11"/>
    </row>
    <row r="7" spans="1:57" s="4" customFormat="1" ht="29.25">
      <c r="A7" s="4" t="s">
        <v>16</v>
      </c>
      <c r="C7" s="14">
        <v>0.29166666666666669</v>
      </c>
      <c r="D7" s="15">
        <v>0.48958333333333331</v>
      </c>
      <c r="E7" s="15">
        <f t="shared" ref="E7:L7" si="0">D8</f>
        <v>0.5625</v>
      </c>
      <c r="F7" s="15">
        <f t="shared" si="0"/>
        <v>0.62847222222222221</v>
      </c>
      <c r="G7" s="15">
        <f t="shared" si="0"/>
        <v>0.67013888888888884</v>
      </c>
      <c r="H7" s="15">
        <f t="shared" si="0"/>
        <v>0.70833333333333337</v>
      </c>
      <c r="I7" s="13">
        <f t="shared" si="0"/>
        <v>0.75</v>
      </c>
      <c r="J7" s="13">
        <f t="shared" si="0"/>
        <v>0.75</v>
      </c>
      <c r="K7" s="13">
        <f t="shared" si="0"/>
        <v>0.75</v>
      </c>
      <c r="L7" s="13">
        <f t="shared" si="0"/>
        <v>0.75</v>
      </c>
      <c r="M7" s="8"/>
      <c r="N7" s="14">
        <v>0.29166666666666669</v>
      </c>
      <c r="O7" s="15">
        <v>0.48958333333333331</v>
      </c>
      <c r="P7" s="15">
        <f t="shared" ref="P7:W7" si="1">O8</f>
        <v>0.5625</v>
      </c>
      <c r="Q7" s="15">
        <f t="shared" si="1"/>
        <v>0.62847222222222221</v>
      </c>
      <c r="R7" s="15">
        <f t="shared" si="1"/>
        <v>0.67013888888888884</v>
      </c>
      <c r="S7" s="15">
        <f t="shared" si="1"/>
        <v>0.70833333333333337</v>
      </c>
      <c r="T7" s="13">
        <f t="shared" si="1"/>
        <v>0.75</v>
      </c>
      <c r="U7" s="13">
        <f t="shared" si="1"/>
        <v>0.75</v>
      </c>
      <c r="V7" s="13">
        <f t="shared" si="1"/>
        <v>0.75</v>
      </c>
      <c r="W7" s="13">
        <f t="shared" si="1"/>
        <v>0.75</v>
      </c>
      <c r="X7" s="8"/>
      <c r="Y7" s="12">
        <v>0.29166666666666669</v>
      </c>
      <c r="Z7" s="13">
        <v>0.48958333333333331</v>
      </c>
      <c r="AA7" s="13">
        <f t="shared" ref="AA7:AH7" si="2">Z8</f>
        <v>0.5625</v>
      </c>
      <c r="AB7" s="13">
        <f t="shared" si="2"/>
        <v>0.62847222222222221</v>
      </c>
      <c r="AC7" s="13">
        <f t="shared" si="2"/>
        <v>0.67013888888888884</v>
      </c>
      <c r="AD7" s="13">
        <f t="shared" si="2"/>
        <v>0.70833333333333337</v>
      </c>
      <c r="AE7" s="13">
        <f t="shared" si="2"/>
        <v>0.75</v>
      </c>
      <c r="AF7" s="13">
        <f t="shared" si="2"/>
        <v>0.75</v>
      </c>
      <c r="AG7" s="13">
        <f t="shared" si="2"/>
        <v>0.75</v>
      </c>
      <c r="AH7" s="13">
        <f t="shared" si="2"/>
        <v>0.75</v>
      </c>
      <c r="AI7" s="8"/>
      <c r="AJ7" s="12">
        <v>0.29166666666666669</v>
      </c>
      <c r="AK7" s="13">
        <v>0.48958333333333331</v>
      </c>
      <c r="AL7" s="13">
        <f t="shared" ref="AL7:AS7" si="3">AK8</f>
        <v>0.5625</v>
      </c>
      <c r="AM7" s="13">
        <f t="shared" si="3"/>
        <v>0.62847222222222221</v>
      </c>
      <c r="AN7" s="13">
        <f t="shared" si="3"/>
        <v>0.67013888888888884</v>
      </c>
      <c r="AO7" s="13">
        <f t="shared" si="3"/>
        <v>0.70833333333333337</v>
      </c>
      <c r="AP7" s="13">
        <f t="shared" si="3"/>
        <v>0.75</v>
      </c>
      <c r="AQ7" s="13">
        <f t="shared" si="3"/>
        <v>0.75</v>
      </c>
      <c r="AR7" s="13">
        <f t="shared" si="3"/>
        <v>0.75</v>
      </c>
      <c r="AS7" s="13">
        <f t="shared" si="3"/>
        <v>0.75</v>
      </c>
      <c r="AT7" s="8"/>
      <c r="AU7" s="12">
        <v>0.29166666666666669</v>
      </c>
      <c r="AV7" s="13">
        <v>0.48958333333333331</v>
      </c>
      <c r="AW7" s="13">
        <f t="shared" ref="AW7:BD7" si="4">AV8</f>
        <v>0.5625</v>
      </c>
      <c r="AX7" s="13">
        <f t="shared" si="4"/>
        <v>0.62847222222222221</v>
      </c>
      <c r="AY7" s="13">
        <f t="shared" si="4"/>
        <v>0.67013888888888884</v>
      </c>
      <c r="AZ7" s="13">
        <f t="shared" si="4"/>
        <v>0.70833333333333337</v>
      </c>
      <c r="BA7" s="13">
        <f t="shared" si="4"/>
        <v>0.75</v>
      </c>
      <c r="BB7" s="13">
        <f t="shared" si="4"/>
        <v>0.75</v>
      </c>
      <c r="BC7" s="13">
        <f t="shared" si="4"/>
        <v>0.75</v>
      </c>
      <c r="BD7" s="13">
        <f t="shared" si="4"/>
        <v>0.75</v>
      </c>
      <c r="BE7" s="8"/>
    </row>
    <row r="8" spans="1:57" s="4" customFormat="1" ht="29.25">
      <c r="A8" s="4" t="s">
        <v>17</v>
      </c>
      <c r="C8" s="14">
        <v>0.33333333333333331</v>
      </c>
      <c r="D8" s="15">
        <v>0.5625</v>
      </c>
      <c r="E8" s="15">
        <v>0.62847222222222221</v>
      </c>
      <c r="F8" s="15">
        <v>0.67013888888888884</v>
      </c>
      <c r="G8" s="15">
        <v>0.70833333333333337</v>
      </c>
      <c r="H8" s="15">
        <v>0.75</v>
      </c>
      <c r="I8" s="13">
        <v>0.75</v>
      </c>
      <c r="J8" s="13">
        <v>0.75</v>
      </c>
      <c r="K8" s="13">
        <v>0.75</v>
      </c>
      <c r="L8" s="13">
        <v>0.75</v>
      </c>
      <c r="M8" s="8"/>
      <c r="N8" s="14">
        <v>0.33333333333333331</v>
      </c>
      <c r="O8" s="15">
        <v>0.5625</v>
      </c>
      <c r="P8" s="15">
        <v>0.62847222222222221</v>
      </c>
      <c r="Q8" s="15">
        <v>0.67013888888888884</v>
      </c>
      <c r="R8" s="15">
        <v>0.70833333333333337</v>
      </c>
      <c r="S8" s="15">
        <v>0.75</v>
      </c>
      <c r="T8" s="13">
        <v>0.75</v>
      </c>
      <c r="U8" s="13">
        <v>0.75</v>
      </c>
      <c r="V8" s="13">
        <v>0.75</v>
      </c>
      <c r="W8" s="13">
        <v>0.75</v>
      </c>
      <c r="X8" s="8"/>
      <c r="Y8" s="12">
        <v>0.33333333333333331</v>
      </c>
      <c r="Z8" s="13">
        <v>0.5625</v>
      </c>
      <c r="AA8" s="13">
        <v>0.62847222222222221</v>
      </c>
      <c r="AB8" s="13">
        <v>0.67013888888888884</v>
      </c>
      <c r="AC8" s="13">
        <v>0.70833333333333337</v>
      </c>
      <c r="AD8" s="13">
        <v>0.75</v>
      </c>
      <c r="AE8" s="13">
        <v>0.75</v>
      </c>
      <c r="AF8" s="13">
        <v>0.75</v>
      </c>
      <c r="AG8" s="13">
        <v>0.75</v>
      </c>
      <c r="AH8" s="13">
        <v>0.75</v>
      </c>
      <c r="AI8" s="8"/>
      <c r="AJ8" s="12">
        <v>0.33333333333333331</v>
      </c>
      <c r="AK8" s="13">
        <v>0.5625</v>
      </c>
      <c r="AL8" s="13">
        <v>0.62847222222222221</v>
      </c>
      <c r="AM8" s="13">
        <v>0.67013888888888884</v>
      </c>
      <c r="AN8" s="13">
        <v>0.70833333333333337</v>
      </c>
      <c r="AO8" s="13">
        <v>0.75</v>
      </c>
      <c r="AP8" s="13">
        <v>0.75</v>
      </c>
      <c r="AQ8" s="13">
        <v>0.75</v>
      </c>
      <c r="AR8" s="13">
        <v>0.75</v>
      </c>
      <c r="AS8" s="13">
        <v>0.75</v>
      </c>
      <c r="AT8" s="8"/>
      <c r="AU8" s="12">
        <v>0.33333333333333331</v>
      </c>
      <c r="AV8" s="13">
        <v>0.5625</v>
      </c>
      <c r="AW8" s="13">
        <v>0.62847222222222221</v>
      </c>
      <c r="AX8" s="13">
        <v>0.67013888888888884</v>
      </c>
      <c r="AY8" s="13">
        <v>0.70833333333333337</v>
      </c>
      <c r="AZ8" s="13">
        <v>0.75</v>
      </c>
      <c r="BA8" s="13">
        <v>0.75</v>
      </c>
      <c r="BB8" s="13">
        <v>0.75</v>
      </c>
      <c r="BC8" s="13">
        <v>0.75</v>
      </c>
      <c r="BD8" s="13">
        <v>0.75</v>
      </c>
      <c r="BE8" s="8"/>
    </row>
    <row r="9" spans="1:57" s="6" customFormat="1">
      <c r="A9" s="2"/>
    </row>
    <row r="10" spans="1:57" s="6" customFormat="1" ht="26.1" customHeight="1">
      <c r="A10" s="2" t="s">
        <v>5</v>
      </c>
      <c r="C10" s="18">
        <v>7</v>
      </c>
      <c r="D10" s="18">
        <v>20</v>
      </c>
      <c r="E10" s="18"/>
      <c r="F10" s="18"/>
      <c r="G10" s="18"/>
      <c r="H10" s="18"/>
      <c r="I10" s="18"/>
      <c r="J10" s="18"/>
      <c r="K10" s="18"/>
      <c r="L10" s="18"/>
      <c r="N10" s="18"/>
      <c r="O10" s="18"/>
      <c r="P10" s="18"/>
      <c r="Q10" s="18"/>
      <c r="R10" s="18"/>
      <c r="S10" s="18"/>
      <c r="T10" s="18"/>
      <c r="U10" s="18"/>
      <c r="V10" s="18"/>
      <c r="W10" s="18"/>
      <c r="Y10" s="18"/>
      <c r="Z10" s="18"/>
      <c r="AA10" s="18"/>
      <c r="AB10" s="18"/>
      <c r="AC10" s="18"/>
      <c r="AD10" s="18"/>
      <c r="AE10" s="18"/>
      <c r="AF10" s="18"/>
      <c r="AG10" s="18"/>
      <c r="AH10" s="18"/>
      <c r="AJ10" s="18"/>
      <c r="AK10" s="18"/>
      <c r="AL10" s="18"/>
      <c r="AM10" s="18"/>
      <c r="AN10" s="18"/>
      <c r="AO10" s="18"/>
      <c r="AP10" s="18"/>
      <c r="AQ10" s="18"/>
      <c r="AR10" s="18"/>
      <c r="AS10" s="18"/>
      <c r="AU10" s="18"/>
      <c r="AV10" s="18"/>
      <c r="AW10" s="18"/>
      <c r="AX10" s="18"/>
      <c r="AY10" s="18"/>
      <c r="AZ10" s="18"/>
      <c r="BA10" s="18"/>
      <c r="BB10" s="18"/>
      <c r="BC10" s="18"/>
      <c r="BD10" s="18"/>
    </row>
    <row r="11" spans="1:57" s="6" customFormat="1" ht="20.100000000000001" customHeight="1">
      <c r="A11" s="2"/>
    </row>
    <row r="12" spans="1:57" s="6" customFormat="1" ht="20.100000000000001" customHeight="1">
      <c r="A12" s="3" t="s">
        <v>6</v>
      </c>
    </row>
    <row r="13" spans="1:57" s="6" customFormat="1">
      <c r="A13" s="3" t="s">
        <v>8</v>
      </c>
    </row>
    <row r="14" spans="1:57" s="6" customFormat="1">
      <c r="A14" s="2" t="s">
        <v>9</v>
      </c>
      <c r="B14" s="19">
        <v>0.4</v>
      </c>
      <c r="C14" s="17">
        <f t="shared" ref="C14:L14" si="5">$B14</f>
        <v>0.4</v>
      </c>
      <c r="D14" s="17">
        <f t="shared" si="5"/>
        <v>0.4</v>
      </c>
      <c r="E14" s="17">
        <f t="shared" si="5"/>
        <v>0.4</v>
      </c>
      <c r="F14" s="17">
        <f t="shared" si="5"/>
        <v>0.4</v>
      </c>
      <c r="G14" s="17">
        <f t="shared" si="5"/>
        <v>0.4</v>
      </c>
      <c r="H14" s="17">
        <f t="shared" si="5"/>
        <v>0.4</v>
      </c>
      <c r="I14" s="17">
        <f t="shared" si="5"/>
        <v>0.4</v>
      </c>
      <c r="J14" s="17">
        <f t="shared" si="5"/>
        <v>0.4</v>
      </c>
      <c r="K14" s="17">
        <f t="shared" si="5"/>
        <v>0.4</v>
      </c>
      <c r="L14" s="17">
        <f t="shared" si="5"/>
        <v>0.4</v>
      </c>
      <c r="M14" s="17"/>
      <c r="N14" s="17">
        <f t="shared" ref="N14:W14" si="6">$B14</f>
        <v>0.4</v>
      </c>
      <c r="O14" s="17">
        <f t="shared" si="6"/>
        <v>0.4</v>
      </c>
      <c r="P14" s="17">
        <f t="shared" si="6"/>
        <v>0.4</v>
      </c>
      <c r="Q14" s="17">
        <f t="shared" si="6"/>
        <v>0.4</v>
      </c>
      <c r="R14" s="17">
        <f t="shared" si="6"/>
        <v>0.4</v>
      </c>
      <c r="S14" s="17">
        <f t="shared" si="6"/>
        <v>0.4</v>
      </c>
      <c r="T14" s="17">
        <f t="shared" si="6"/>
        <v>0.4</v>
      </c>
      <c r="U14" s="17">
        <f t="shared" si="6"/>
        <v>0.4</v>
      </c>
      <c r="V14" s="17">
        <f t="shared" si="6"/>
        <v>0.4</v>
      </c>
      <c r="W14" s="17">
        <f t="shared" si="6"/>
        <v>0.4</v>
      </c>
      <c r="X14" s="17"/>
      <c r="Y14" s="17">
        <f t="shared" ref="Y14:AH14" si="7">$B14</f>
        <v>0.4</v>
      </c>
      <c r="Z14" s="17">
        <f t="shared" si="7"/>
        <v>0.4</v>
      </c>
      <c r="AA14" s="17">
        <f t="shared" si="7"/>
        <v>0.4</v>
      </c>
      <c r="AB14" s="17">
        <f t="shared" si="7"/>
        <v>0.4</v>
      </c>
      <c r="AC14" s="17">
        <f t="shared" si="7"/>
        <v>0.4</v>
      </c>
      <c r="AD14" s="17">
        <f t="shared" si="7"/>
        <v>0.4</v>
      </c>
      <c r="AE14" s="17">
        <f t="shared" si="7"/>
        <v>0.4</v>
      </c>
      <c r="AF14" s="17">
        <f t="shared" si="7"/>
        <v>0.4</v>
      </c>
      <c r="AG14" s="17">
        <f t="shared" si="7"/>
        <v>0.4</v>
      </c>
      <c r="AH14" s="17">
        <f t="shared" si="7"/>
        <v>0.4</v>
      </c>
      <c r="AI14" s="17"/>
      <c r="AJ14" s="17">
        <f t="shared" ref="AJ14:AS14" si="8">$B14</f>
        <v>0.4</v>
      </c>
      <c r="AK14" s="17">
        <f t="shared" si="8"/>
        <v>0.4</v>
      </c>
      <c r="AL14" s="17">
        <f t="shared" si="8"/>
        <v>0.4</v>
      </c>
      <c r="AM14" s="17">
        <f t="shared" si="8"/>
        <v>0.4</v>
      </c>
      <c r="AN14" s="17">
        <f t="shared" si="8"/>
        <v>0.4</v>
      </c>
      <c r="AO14" s="17">
        <f t="shared" si="8"/>
        <v>0.4</v>
      </c>
      <c r="AP14" s="17">
        <f t="shared" si="8"/>
        <v>0.4</v>
      </c>
      <c r="AQ14" s="17">
        <f t="shared" si="8"/>
        <v>0.4</v>
      </c>
      <c r="AR14" s="17">
        <f t="shared" si="8"/>
        <v>0.4</v>
      </c>
      <c r="AS14" s="17">
        <f t="shared" si="8"/>
        <v>0.4</v>
      </c>
      <c r="AT14" s="17"/>
      <c r="AU14" s="17">
        <f t="shared" ref="AU14:BD14" si="9">$B14</f>
        <v>0.4</v>
      </c>
      <c r="AV14" s="17">
        <f t="shared" si="9"/>
        <v>0.4</v>
      </c>
      <c r="AW14" s="17">
        <f t="shared" si="9"/>
        <v>0.4</v>
      </c>
      <c r="AX14" s="17">
        <f t="shared" si="9"/>
        <v>0.4</v>
      </c>
      <c r="AY14" s="17">
        <f t="shared" si="9"/>
        <v>0.4</v>
      </c>
      <c r="AZ14" s="17">
        <f t="shared" si="9"/>
        <v>0.4</v>
      </c>
      <c r="BA14" s="17">
        <f t="shared" si="9"/>
        <v>0.4</v>
      </c>
      <c r="BB14" s="17">
        <f t="shared" si="9"/>
        <v>0.4</v>
      </c>
      <c r="BC14" s="17">
        <f t="shared" si="9"/>
        <v>0.4</v>
      </c>
      <c r="BD14" s="17">
        <f t="shared" si="9"/>
        <v>0.4</v>
      </c>
    </row>
    <row r="15" spans="1:57" s="6" customFormat="1">
      <c r="A15" s="2" t="s">
        <v>10</v>
      </c>
      <c r="C15" s="6">
        <f>ROUNDDOWN(C$10*C14,0)</f>
        <v>2</v>
      </c>
      <c r="D15" s="6">
        <f t="shared" ref="D15:L15" si="10">ROUNDDOWN(D$10*D14,0)</f>
        <v>8</v>
      </c>
      <c r="E15" s="6">
        <f t="shared" si="10"/>
        <v>0</v>
      </c>
      <c r="F15" s="6">
        <f t="shared" si="10"/>
        <v>0</v>
      </c>
      <c r="G15" s="6">
        <f t="shared" si="10"/>
        <v>0</v>
      </c>
      <c r="H15" s="6">
        <f t="shared" si="10"/>
        <v>0</v>
      </c>
      <c r="I15" s="6">
        <f t="shared" si="10"/>
        <v>0</v>
      </c>
      <c r="J15" s="6">
        <f t="shared" si="10"/>
        <v>0</v>
      </c>
      <c r="K15" s="6">
        <f t="shared" si="10"/>
        <v>0</v>
      </c>
      <c r="L15" s="6">
        <f t="shared" si="10"/>
        <v>0</v>
      </c>
      <c r="N15" s="6">
        <f t="shared" ref="N15:W15" si="11">ROUNDDOWN(N$10*N14,0)</f>
        <v>0</v>
      </c>
      <c r="O15" s="6">
        <f t="shared" si="11"/>
        <v>0</v>
      </c>
      <c r="P15" s="6">
        <f t="shared" si="11"/>
        <v>0</v>
      </c>
      <c r="Q15" s="6">
        <f t="shared" si="11"/>
        <v>0</v>
      </c>
      <c r="R15" s="6">
        <f t="shared" si="11"/>
        <v>0</v>
      </c>
      <c r="S15" s="6">
        <f t="shared" si="11"/>
        <v>0</v>
      </c>
      <c r="T15" s="6">
        <f t="shared" si="11"/>
        <v>0</v>
      </c>
      <c r="U15" s="6">
        <f t="shared" si="11"/>
        <v>0</v>
      </c>
      <c r="V15" s="6">
        <f t="shared" si="11"/>
        <v>0</v>
      </c>
      <c r="W15" s="6">
        <f t="shared" si="11"/>
        <v>0</v>
      </c>
      <c r="Y15" s="6">
        <f t="shared" ref="Y15:AH15" si="12">ROUNDDOWN(Y$10*Y14,0)</f>
        <v>0</v>
      </c>
      <c r="Z15" s="6">
        <f t="shared" si="12"/>
        <v>0</v>
      </c>
      <c r="AA15" s="6">
        <f t="shared" si="12"/>
        <v>0</v>
      </c>
      <c r="AB15" s="6">
        <f t="shared" si="12"/>
        <v>0</v>
      </c>
      <c r="AC15" s="6">
        <f t="shared" si="12"/>
        <v>0</v>
      </c>
      <c r="AD15" s="6">
        <f t="shared" si="12"/>
        <v>0</v>
      </c>
      <c r="AE15" s="6">
        <f t="shared" si="12"/>
        <v>0</v>
      </c>
      <c r="AF15" s="6">
        <f t="shared" si="12"/>
        <v>0</v>
      </c>
      <c r="AG15" s="6">
        <f t="shared" si="12"/>
        <v>0</v>
      </c>
      <c r="AH15" s="6">
        <f t="shared" si="12"/>
        <v>0</v>
      </c>
      <c r="AJ15" s="6">
        <f t="shared" ref="AJ15:AS15" si="13">ROUNDDOWN(AJ$10*AJ14,0)</f>
        <v>0</v>
      </c>
      <c r="AK15" s="6">
        <f t="shared" si="13"/>
        <v>0</v>
      </c>
      <c r="AL15" s="6">
        <f t="shared" si="13"/>
        <v>0</v>
      </c>
      <c r="AM15" s="6">
        <f t="shared" si="13"/>
        <v>0</v>
      </c>
      <c r="AN15" s="6">
        <f t="shared" si="13"/>
        <v>0</v>
      </c>
      <c r="AO15" s="6">
        <f t="shared" si="13"/>
        <v>0</v>
      </c>
      <c r="AP15" s="6">
        <f t="shared" si="13"/>
        <v>0</v>
      </c>
      <c r="AQ15" s="6">
        <f t="shared" si="13"/>
        <v>0</v>
      </c>
      <c r="AR15" s="6">
        <f t="shared" si="13"/>
        <v>0</v>
      </c>
      <c r="AS15" s="6">
        <f t="shared" si="13"/>
        <v>0</v>
      </c>
      <c r="AU15" s="6">
        <f t="shared" ref="AU15:BD15" si="14">ROUNDDOWN(AU$10*AU14,0)</f>
        <v>0</v>
      </c>
      <c r="AV15" s="6">
        <f t="shared" si="14"/>
        <v>0</v>
      </c>
      <c r="AW15" s="6">
        <f t="shared" si="14"/>
        <v>0</v>
      </c>
      <c r="AX15" s="6">
        <f t="shared" si="14"/>
        <v>0</v>
      </c>
      <c r="AY15" s="6">
        <f t="shared" si="14"/>
        <v>0</v>
      </c>
      <c r="AZ15" s="6">
        <f t="shared" si="14"/>
        <v>0</v>
      </c>
      <c r="BA15" s="6">
        <f t="shared" si="14"/>
        <v>0</v>
      </c>
      <c r="BB15" s="6">
        <f t="shared" si="14"/>
        <v>0</v>
      </c>
      <c r="BC15" s="6">
        <f t="shared" si="14"/>
        <v>0</v>
      </c>
      <c r="BD15" s="6">
        <f t="shared" si="14"/>
        <v>0</v>
      </c>
    </row>
    <row r="16" spans="1:57" s="6" customFormat="1">
      <c r="A16" s="2" t="s">
        <v>13</v>
      </c>
      <c r="B16" s="19">
        <v>0.7</v>
      </c>
      <c r="C16" s="17">
        <f t="shared" ref="C16:L16" si="15">$B16</f>
        <v>0.7</v>
      </c>
      <c r="D16" s="17">
        <f t="shared" si="15"/>
        <v>0.7</v>
      </c>
      <c r="E16" s="17">
        <f t="shared" si="15"/>
        <v>0.7</v>
      </c>
      <c r="F16" s="17">
        <f t="shared" si="15"/>
        <v>0.7</v>
      </c>
      <c r="G16" s="17">
        <f t="shared" si="15"/>
        <v>0.7</v>
      </c>
      <c r="H16" s="17">
        <f t="shared" si="15"/>
        <v>0.7</v>
      </c>
      <c r="I16" s="17">
        <f t="shared" si="15"/>
        <v>0.7</v>
      </c>
      <c r="J16" s="17">
        <f t="shared" si="15"/>
        <v>0.7</v>
      </c>
      <c r="K16" s="17">
        <f t="shared" si="15"/>
        <v>0.7</v>
      </c>
      <c r="L16" s="17">
        <f t="shared" si="15"/>
        <v>0.7</v>
      </c>
      <c r="M16" s="17"/>
      <c r="N16" s="17">
        <f t="shared" ref="N16:W16" si="16">$B16</f>
        <v>0.7</v>
      </c>
      <c r="O16" s="17">
        <f t="shared" si="16"/>
        <v>0.7</v>
      </c>
      <c r="P16" s="17">
        <f t="shared" si="16"/>
        <v>0.7</v>
      </c>
      <c r="Q16" s="17">
        <f t="shared" si="16"/>
        <v>0.7</v>
      </c>
      <c r="R16" s="17">
        <f t="shared" si="16"/>
        <v>0.7</v>
      </c>
      <c r="S16" s="17">
        <f t="shared" si="16"/>
        <v>0.7</v>
      </c>
      <c r="T16" s="17">
        <f t="shared" si="16"/>
        <v>0.7</v>
      </c>
      <c r="U16" s="17">
        <f t="shared" si="16"/>
        <v>0.7</v>
      </c>
      <c r="V16" s="17">
        <f t="shared" si="16"/>
        <v>0.7</v>
      </c>
      <c r="W16" s="17">
        <f t="shared" si="16"/>
        <v>0.7</v>
      </c>
      <c r="X16" s="17"/>
      <c r="Y16" s="17">
        <f t="shared" ref="Y16:AH16" si="17">$B16</f>
        <v>0.7</v>
      </c>
      <c r="Z16" s="17">
        <f t="shared" si="17"/>
        <v>0.7</v>
      </c>
      <c r="AA16" s="17">
        <f t="shared" si="17"/>
        <v>0.7</v>
      </c>
      <c r="AB16" s="17">
        <f t="shared" si="17"/>
        <v>0.7</v>
      </c>
      <c r="AC16" s="17">
        <f t="shared" si="17"/>
        <v>0.7</v>
      </c>
      <c r="AD16" s="17">
        <f t="shared" si="17"/>
        <v>0.7</v>
      </c>
      <c r="AE16" s="17">
        <f t="shared" si="17"/>
        <v>0.7</v>
      </c>
      <c r="AF16" s="17">
        <f t="shared" si="17"/>
        <v>0.7</v>
      </c>
      <c r="AG16" s="17">
        <f t="shared" si="17"/>
        <v>0.7</v>
      </c>
      <c r="AH16" s="17">
        <f t="shared" si="17"/>
        <v>0.7</v>
      </c>
      <c r="AI16" s="17"/>
      <c r="AJ16" s="17">
        <f t="shared" ref="AJ16:AS16" si="18">$B16</f>
        <v>0.7</v>
      </c>
      <c r="AK16" s="17">
        <f t="shared" si="18"/>
        <v>0.7</v>
      </c>
      <c r="AL16" s="17">
        <f t="shared" si="18"/>
        <v>0.7</v>
      </c>
      <c r="AM16" s="17">
        <f t="shared" si="18"/>
        <v>0.7</v>
      </c>
      <c r="AN16" s="17">
        <f t="shared" si="18"/>
        <v>0.7</v>
      </c>
      <c r="AO16" s="17">
        <f t="shared" si="18"/>
        <v>0.7</v>
      </c>
      <c r="AP16" s="17">
        <f t="shared" si="18"/>
        <v>0.7</v>
      </c>
      <c r="AQ16" s="17">
        <f t="shared" si="18"/>
        <v>0.7</v>
      </c>
      <c r="AR16" s="17">
        <f t="shared" si="18"/>
        <v>0.7</v>
      </c>
      <c r="AS16" s="17">
        <f t="shared" si="18"/>
        <v>0.7</v>
      </c>
      <c r="AT16" s="17"/>
      <c r="AU16" s="17">
        <f t="shared" ref="AU16:BD16" si="19">$B16</f>
        <v>0.7</v>
      </c>
      <c r="AV16" s="17">
        <f t="shared" si="19"/>
        <v>0.7</v>
      </c>
      <c r="AW16" s="17">
        <f t="shared" si="19"/>
        <v>0.7</v>
      </c>
      <c r="AX16" s="17">
        <f t="shared" si="19"/>
        <v>0.7</v>
      </c>
      <c r="AY16" s="17">
        <f t="shared" si="19"/>
        <v>0.7</v>
      </c>
      <c r="AZ16" s="17">
        <f t="shared" si="19"/>
        <v>0.7</v>
      </c>
      <c r="BA16" s="17">
        <f t="shared" si="19"/>
        <v>0.7</v>
      </c>
      <c r="BB16" s="17">
        <f t="shared" si="19"/>
        <v>0.7</v>
      </c>
      <c r="BC16" s="17">
        <f t="shared" si="19"/>
        <v>0.7</v>
      </c>
      <c r="BD16" s="17">
        <f t="shared" si="19"/>
        <v>0.7</v>
      </c>
    </row>
    <row r="17" spans="1:56" s="6" customFormat="1">
      <c r="A17" s="2" t="s">
        <v>11</v>
      </c>
      <c r="C17" s="6">
        <f t="shared" ref="C17:L17" si="20">ROUNDDOWN(C$10*C16,0)</f>
        <v>4</v>
      </c>
      <c r="D17" s="6">
        <f t="shared" si="20"/>
        <v>14</v>
      </c>
      <c r="E17" s="6">
        <f t="shared" si="20"/>
        <v>0</v>
      </c>
      <c r="F17" s="6">
        <f t="shared" si="20"/>
        <v>0</v>
      </c>
      <c r="G17" s="6">
        <f t="shared" si="20"/>
        <v>0</v>
      </c>
      <c r="H17" s="6">
        <f t="shared" si="20"/>
        <v>0</v>
      </c>
      <c r="I17" s="6">
        <f t="shared" si="20"/>
        <v>0</v>
      </c>
      <c r="J17" s="6">
        <f t="shared" si="20"/>
        <v>0</v>
      </c>
      <c r="K17" s="6">
        <f t="shared" si="20"/>
        <v>0</v>
      </c>
      <c r="L17" s="6">
        <f t="shared" si="20"/>
        <v>0</v>
      </c>
      <c r="N17" s="6">
        <f t="shared" ref="N17:W17" si="21">ROUNDDOWN(N$10*N16,0)</f>
        <v>0</v>
      </c>
      <c r="O17" s="6">
        <f t="shared" si="21"/>
        <v>0</v>
      </c>
      <c r="P17" s="6">
        <f t="shared" si="21"/>
        <v>0</v>
      </c>
      <c r="Q17" s="6">
        <f t="shared" si="21"/>
        <v>0</v>
      </c>
      <c r="R17" s="6">
        <f t="shared" si="21"/>
        <v>0</v>
      </c>
      <c r="S17" s="6">
        <f t="shared" si="21"/>
        <v>0</v>
      </c>
      <c r="T17" s="6">
        <f t="shared" si="21"/>
        <v>0</v>
      </c>
      <c r="U17" s="6">
        <f t="shared" si="21"/>
        <v>0</v>
      </c>
      <c r="V17" s="6">
        <f t="shared" si="21"/>
        <v>0</v>
      </c>
      <c r="W17" s="6">
        <f t="shared" si="21"/>
        <v>0</v>
      </c>
      <c r="Y17" s="6">
        <f t="shared" ref="Y17:AH17" si="22">ROUNDDOWN(Y$10*Y16,0)</f>
        <v>0</v>
      </c>
      <c r="Z17" s="6">
        <f t="shared" si="22"/>
        <v>0</v>
      </c>
      <c r="AA17" s="6">
        <f t="shared" si="22"/>
        <v>0</v>
      </c>
      <c r="AB17" s="6">
        <f t="shared" si="22"/>
        <v>0</v>
      </c>
      <c r="AC17" s="6">
        <f t="shared" si="22"/>
        <v>0</v>
      </c>
      <c r="AD17" s="6">
        <f t="shared" si="22"/>
        <v>0</v>
      </c>
      <c r="AE17" s="6">
        <f t="shared" si="22"/>
        <v>0</v>
      </c>
      <c r="AF17" s="6">
        <f t="shared" si="22"/>
        <v>0</v>
      </c>
      <c r="AG17" s="6">
        <f t="shared" si="22"/>
        <v>0</v>
      </c>
      <c r="AH17" s="6">
        <f t="shared" si="22"/>
        <v>0</v>
      </c>
      <c r="AJ17" s="6">
        <f t="shared" ref="AJ17:AS17" si="23">ROUNDDOWN(AJ$10*AJ16,0)</f>
        <v>0</v>
      </c>
      <c r="AK17" s="6">
        <f t="shared" si="23"/>
        <v>0</v>
      </c>
      <c r="AL17" s="6">
        <f t="shared" si="23"/>
        <v>0</v>
      </c>
      <c r="AM17" s="6">
        <f t="shared" si="23"/>
        <v>0</v>
      </c>
      <c r="AN17" s="6">
        <f t="shared" si="23"/>
        <v>0</v>
      </c>
      <c r="AO17" s="6">
        <f t="shared" si="23"/>
        <v>0</v>
      </c>
      <c r="AP17" s="6">
        <f t="shared" si="23"/>
        <v>0</v>
      </c>
      <c r="AQ17" s="6">
        <f t="shared" si="23"/>
        <v>0</v>
      </c>
      <c r="AR17" s="6">
        <f t="shared" si="23"/>
        <v>0</v>
      </c>
      <c r="AS17" s="6">
        <f t="shared" si="23"/>
        <v>0</v>
      </c>
      <c r="AU17" s="6">
        <f t="shared" ref="AU17:BD17" si="24">ROUNDDOWN(AU$10*AU16,0)</f>
        <v>0</v>
      </c>
      <c r="AV17" s="6">
        <f t="shared" si="24"/>
        <v>0</v>
      </c>
      <c r="AW17" s="6">
        <f t="shared" si="24"/>
        <v>0</v>
      </c>
      <c r="AX17" s="6">
        <f t="shared" si="24"/>
        <v>0</v>
      </c>
      <c r="AY17" s="6">
        <f t="shared" si="24"/>
        <v>0</v>
      </c>
      <c r="AZ17" s="6">
        <f t="shared" si="24"/>
        <v>0</v>
      </c>
      <c r="BA17" s="6">
        <f t="shared" si="24"/>
        <v>0</v>
      </c>
      <c r="BB17" s="6">
        <f t="shared" si="24"/>
        <v>0</v>
      </c>
      <c r="BC17" s="6">
        <f t="shared" si="24"/>
        <v>0</v>
      </c>
      <c r="BD17" s="6">
        <f t="shared" si="24"/>
        <v>0</v>
      </c>
    </row>
    <row r="18" spans="1:56" s="6" customFormat="1">
      <c r="A18" s="2" t="s">
        <v>14</v>
      </c>
      <c r="B18" s="19">
        <v>1</v>
      </c>
      <c r="C18" s="17">
        <f>$B18</f>
        <v>1</v>
      </c>
      <c r="D18" s="17">
        <f t="shared" ref="D18:BD18" si="25">$B18</f>
        <v>1</v>
      </c>
      <c r="E18" s="17">
        <f t="shared" si="25"/>
        <v>1</v>
      </c>
      <c r="F18" s="17">
        <f t="shared" si="25"/>
        <v>1</v>
      </c>
      <c r="G18" s="17">
        <f t="shared" si="25"/>
        <v>1</v>
      </c>
      <c r="H18" s="17">
        <f t="shared" si="25"/>
        <v>1</v>
      </c>
      <c r="I18" s="17">
        <f t="shared" si="25"/>
        <v>1</v>
      </c>
      <c r="J18" s="17">
        <f t="shared" si="25"/>
        <v>1</v>
      </c>
      <c r="K18" s="17">
        <f t="shared" si="25"/>
        <v>1</v>
      </c>
      <c r="L18" s="17">
        <f t="shared" si="25"/>
        <v>1</v>
      </c>
      <c r="M18" s="17"/>
      <c r="N18" s="17">
        <f t="shared" si="25"/>
        <v>1</v>
      </c>
      <c r="O18" s="17">
        <f t="shared" si="25"/>
        <v>1</v>
      </c>
      <c r="P18" s="17">
        <f t="shared" si="25"/>
        <v>1</v>
      </c>
      <c r="Q18" s="17">
        <f t="shared" si="25"/>
        <v>1</v>
      </c>
      <c r="R18" s="17">
        <f t="shared" si="25"/>
        <v>1</v>
      </c>
      <c r="S18" s="17">
        <f t="shared" si="25"/>
        <v>1</v>
      </c>
      <c r="T18" s="17">
        <f t="shared" si="25"/>
        <v>1</v>
      </c>
      <c r="U18" s="17">
        <f t="shared" si="25"/>
        <v>1</v>
      </c>
      <c r="V18" s="17">
        <f t="shared" si="25"/>
        <v>1</v>
      </c>
      <c r="W18" s="17">
        <f t="shared" si="25"/>
        <v>1</v>
      </c>
      <c r="X18" s="17"/>
      <c r="Y18" s="17">
        <f t="shared" si="25"/>
        <v>1</v>
      </c>
      <c r="Z18" s="17">
        <f t="shared" si="25"/>
        <v>1</v>
      </c>
      <c r="AA18" s="17">
        <f t="shared" si="25"/>
        <v>1</v>
      </c>
      <c r="AB18" s="17">
        <f t="shared" si="25"/>
        <v>1</v>
      </c>
      <c r="AC18" s="17">
        <f t="shared" si="25"/>
        <v>1</v>
      </c>
      <c r="AD18" s="17">
        <f t="shared" si="25"/>
        <v>1</v>
      </c>
      <c r="AE18" s="17">
        <f t="shared" si="25"/>
        <v>1</v>
      </c>
      <c r="AF18" s="17">
        <f t="shared" si="25"/>
        <v>1</v>
      </c>
      <c r="AG18" s="17">
        <f t="shared" si="25"/>
        <v>1</v>
      </c>
      <c r="AH18" s="17">
        <f t="shared" si="25"/>
        <v>1</v>
      </c>
      <c r="AI18" s="17"/>
      <c r="AJ18" s="17">
        <f t="shared" si="25"/>
        <v>1</v>
      </c>
      <c r="AK18" s="17">
        <f t="shared" si="25"/>
        <v>1</v>
      </c>
      <c r="AL18" s="17">
        <f t="shared" si="25"/>
        <v>1</v>
      </c>
      <c r="AM18" s="17">
        <f t="shared" si="25"/>
        <v>1</v>
      </c>
      <c r="AN18" s="17">
        <f t="shared" si="25"/>
        <v>1</v>
      </c>
      <c r="AO18" s="17">
        <f t="shared" si="25"/>
        <v>1</v>
      </c>
      <c r="AP18" s="17">
        <f t="shared" si="25"/>
        <v>1</v>
      </c>
      <c r="AQ18" s="17">
        <f t="shared" si="25"/>
        <v>1</v>
      </c>
      <c r="AR18" s="17">
        <f t="shared" si="25"/>
        <v>1</v>
      </c>
      <c r="AS18" s="17">
        <f t="shared" si="25"/>
        <v>1</v>
      </c>
      <c r="AT18" s="17"/>
      <c r="AU18" s="17">
        <f t="shared" si="25"/>
        <v>1</v>
      </c>
      <c r="AV18" s="17">
        <f t="shared" si="25"/>
        <v>1</v>
      </c>
      <c r="AW18" s="17">
        <f t="shared" si="25"/>
        <v>1</v>
      </c>
      <c r="AX18" s="17">
        <f t="shared" si="25"/>
        <v>1</v>
      </c>
      <c r="AY18" s="17">
        <f t="shared" si="25"/>
        <v>1</v>
      </c>
      <c r="AZ18" s="17">
        <f t="shared" si="25"/>
        <v>1</v>
      </c>
      <c r="BA18" s="17">
        <f t="shared" si="25"/>
        <v>1</v>
      </c>
      <c r="BB18" s="17">
        <f t="shared" si="25"/>
        <v>1</v>
      </c>
      <c r="BC18" s="17">
        <f t="shared" si="25"/>
        <v>1</v>
      </c>
      <c r="BD18" s="17">
        <f t="shared" si="25"/>
        <v>1</v>
      </c>
    </row>
    <row r="19" spans="1:56" s="6" customFormat="1">
      <c r="A19" s="2" t="s">
        <v>12</v>
      </c>
      <c r="C19" s="6">
        <f t="shared" ref="C19:L19" si="26">ROUNDDOWN(C$10*C18,0)</f>
        <v>7</v>
      </c>
      <c r="D19" s="6">
        <f t="shared" si="26"/>
        <v>20</v>
      </c>
      <c r="E19" s="6">
        <f t="shared" si="26"/>
        <v>0</v>
      </c>
      <c r="F19" s="6">
        <f t="shared" si="26"/>
        <v>0</v>
      </c>
      <c r="G19" s="6">
        <f t="shared" si="26"/>
        <v>0</v>
      </c>
      <c r="H19" s="6">
        <f t="shared" si="26"/>
        <v>0</v>
      </c>
      <c r="I19" s="6">
        <f t="shared" si="26"/>
        <v>0</v>
      </c>
      <c r="J19" s="6">
        <f t="shared" si="26"/>
        <v>0</v>
      </c>
      <c r="K19" s="6">
        <f t="shared" si="26"/>
        <v>0</v>
      </c>
      <c r="L19" s="6">
        <f t="shared" si="26"/>
        <v>0</v>
      </c>
      <c r="N19" s="6">
        <f t="shared" ref="N19:W19" si="27">ROUNDDOWN(N$10*N18,0)</f>
        <v>0</v>
      </c>
      <c r="O19" s="6">
        <f t="shared" si="27"/>
        <v>0</v>
      </c>
      <c r="P19" s="6">
        <f t="shared" si="27"/>
        <v>0</v>
      </c>
      <c r="Q19" s="6">
        <f t="shared" si="27"/>
        <v>0</v>
      </c>
      <c r="R19" s="6">
        <f t="shared" si="27"/>
        <v>0</v>
      </c>
      <c r="S19" s="6">
        <f t="shared" si="27"/>
        <v>0</v>
      </c>
      <c r="T19" s="6">
        <f t="shared" si="27"/>
        <v>0</v>
      </c>
      <c r="U19" s="6">
        <f t="shared" si="27"/>
        <v>0</v>
      </c>
      <c r="V19" s="6">
        <f t="shared" si="27"/>
        <v>0</v>
      </c>
      <c r="W19" s="6">
        <f t="shared" si="27"/>
        <v>0</v>
      </c>
      <c r="Y19" s="6">
        <f t="shared" ref="Y19:AH19" si="28">ROUNDDOWN(Y$10*Y18,0)</f>
        <v>0</v>
      </c>
      <c r="Z19" s="6">
        <f t="shared" si="28"/>
        <v>0</v>
      </c>
      <c r="AA19" s="6">
        <f t="shared" si="28"/>
        <v>0</v>
      </c>
      <c r="AB19" s="6">
        <f t="shared" si="28"/>
        <v>0</v>
      </c>
      <c r="AC19" s="6">
        <f t="shared" si="28"/>
        <v>0</v>
      </c>
      <c r="AD19" s="6">
        <f t="shared" si="28"/>
        <v>0</v>
      </c>
      <c r="AE19" s="6">
        <f t="shared" si="28"/>
        <v>0</v>
      </c>
      <c r="AF19" s="6">
        <f t="shared" si="28"/>
        <v>0</v>
      </c>
      <c r="AG19" s="6">
        <f t="shared" si="28"/>
        <v>0</v>
      </c>
      <c r="AH19" s="6">
        <f t="shared" si="28"/>
        <v>0</v>
      </c>
      <c r="AJ19" s="6">
        <f t="shared" ref="AJ19:AS19" si="29">ROUNDDOWN(AJ$10*AJ18,0)</f>
        <v>0</v>
      </c>
      <c r="AK19" s="6">
        <f t="shared" si="29"/>
        <v>0</v>
      </c>
      <c r="AL19" s="6">
        <f t="shared" si="29"/>
        <v>0</v>
      </c>
      <c r="AM19" s="6">
        <f t="shared" si="29"/>
        <v>0</v>
      </c>
      <c r="AN19" s="6">
        <f t="shared" si="29"/>
        <v>0</v>
      </c>
      <c r="AO19" s="6">
        <f t="shared" si="29"/>
        <v>0</v>
      </c>
      <c r="AP19" s="6">
        <f t="shared" si="29"/>
        <v>0</v>
      </c>
      <c r="AQ19" s="6">
        <f t="shared" si="29"/>
        <v>0</v>
      </c>
      <c r="AR19" s="6">
        <f t="shared" si="29"/>
        <v>0</v>
      </c>
      <c r="AS19" s="6">
        <f t="shared" si="29"/>
        <v>0</v>
      </c>
      <c r="AU19" s="6">
        <f t="shared" ref="AU19:BD19" si="30">ROUNDDOWN(AU$10*AU18,0)</f>
        <v>0</v>
      </c>
      <c r="AV19" s="6">
        <f t="shared" si="30"/>
        <v>0</v>
      </c>
      <c r="AW19" s="6">
        <f t="shared" si="30"/>
        <v>0</v>
      </c>
      <c r="AX19" s="6">
        <f t="shared" si="30"/>
        <v>0</v>
      </c>
      <c r="AY19" s="6">
        <f t="shared" si="30"/>
        <v>0</v>
      </c>
      <c r="AZ19" s="6">
        <f t="shared" si="30"/>
        <v>0</v>
      </c>
      <c r="BA19" s="6">
        <f t="shared" si="30"/>
        <v>0</v>
      </c>
      <c r="BB19" s="6">
        <f t="shared" si="30"/>
        <v>0</v>
      </c>
      <c r="BC19" s="6">
        <f t="shared" si="30"/>
        <v>0</v>
      </c>
      <c r="BD19" s="6">
        <f t="shared" si="30"/>
        <v>0</v>
      </c>
    </row>
    <row r="20" spans="1:56" s="6" customFormat="1">
      <c r="A20" s="2"/>
    </row>
    <row r="21" spans="1:56" s="6" customFormat="1">
      <c r="A21" s="3" t="s">
        <v>0</v>
      </c>
    </row>
    <row r="22" spans="1:56" s="6" customFormat="1">
      <c r="A22" s="3"/>
    </row>
    <row r="23" spans="1:56" s="6" customFormat="1" ht="12">
      <c r="A23" s="6" t="s">
        <v>15</v>
      </c>
    </row>
    <row r="24" spans="1:56" s="6" customFormat="1" ht="12"/>
    <row r="25" spans="1:56" s="6" customFormat="1" ht="12">
      <c r="A25" s="6" t="s">
        <v>1</v>
      </c>
    </row>
    <row r="26" spans="1:56" s="6" customFormat="1" ht="12"/>
    <row r="27" spans="1:56" s="6" customFormat="1" ht="12">
      <c r="A27" s="6" t="s">
        <v>7</v>
      </c>
    </row>
    <row r="28" spans="1:56" s="6" customFormat="1" ht="12"/>
    <row r="29" spans="1:56" s="6" customFormat="1" ht="12"/>
    <row r="30" spans="1:56" s="6" customFormat="1" ht="12"/>
    <row r="31" spans="1:56" s="6" customFormat="1" ht="12"/>
    <row r="32" spans="1:56" s="6" customFormat="1" ht="12"/>
    <row r="33" s="6" customFormat="1" ht="12"/>
    <row r="34" s="6" customFormat="1" ht="12"/>
    <row r="35" s="6" customFormat="1" ht="12"/>
    <row r="36" s="6" customFormat="1" ht="12"/>
    <row r="37" s="6" customFormat="1" ht="12"/>
    <row r="38" s="6" customFormat="1" ht="12"/>
    <row r="39" s="6" customFormat="1" ht="12"/>
    <row r="40" s="6" customFormat="1" ht="12"/>
    <row r="41" s="6" customFormat="1" ht="12"/>
    <row r="42" s="6" customFormat="1" ht="12"/>
    <row r="43" s="6" customFormat="1" ht="12"/>
    <row r="44" s="6" customFormat="1" ht="12"/>
    <row r="45" s="6" customFormat="1" ht="12"/>
    <row r="46" s="6" customFormat="1" ht="12"/>
    <row r="47" s="6" customFormat="1" ht="12"/>
    <row r="48" s="6" customFormat="1" ht="12"/>
    <row r="49" s="6" customFormat="1" ht="12"/>
    <row r="50" s="6" customFormat="1" ht="12"/>
    <row r="51" s="6" customFormat="1" ht="12"/>
    <row r="52" s="6" customFormat="1" ht="12"/>
    <row r="53" s="6" customFormat="1" ht="12"/>
    <row r="54" s="6" customFormat="1" ht="12"/>
    <row r="55" s="6" customFormat="1" ht="12"/>
    <row r="56" s="6" customFormat="1" ht="12"/>
    <row r="57" s="6" customFormat="1" ht="12"/>
    <row r="58" s="6" customFormat="1" ht="12"/>
    <row r="59" s="6" customFormat="1" ht="12"/>
    <row r="60" s="6" customFormat="1" ht="12"/>
    <row r="61" s="6" customFormat="1" ht="12"/>
    <row r="62" s="6" customFormat="1" ht="12"/>
    <row r="63" s="6" customFormat="1" ht="12"/>
    <row r="64" s="6" customFormat="1" ht="12"/>
    <row r="65" s="6" customFormat="1" ht="12"/>
    <row r="66" s="6" customFormat="1" ht="12"/>
    <row r="67" s="6" customFormat="1" ht="12"/>
    <row r="68" s="6" customFormat="1" ht="12"/>
  </sheetData>
  <phoneticPr fontId="2"/>
  <pageMargins left="0.98425196850393704" right="0.59055118110236227" top="0.78740157480314965" bottom="0.59055118110236227" header="0.51181102362204722" footer="0.51181102362204722"/>
  <pageSetup paperSize="9" scale="59" orientation="landscape"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33</vt:i4>
      </vt:variant>
    </vt:vector>
  </HeadingPairs>
  <TitlesOfParts>
    <vt:vector size="35" baseType="lpstr">
      <vt:lpstr>accueil-vacances</vt:lpstr>
      <vt:lpstr>Nachfrage2</vt:lpstr>
      <vt:lpstr>adminleitung</vt:lpstr>
      <vt:lpstr>angebot</vt:lpstr>
      <vt:lpstr>'accueil-vacances'!anzahlwochen</vt:lpstr>
      <vt:lpstr>'accueil-vacances'!ausbildung</vt:lpstr>
      <vt:lpstr>ausflug</vt:lpstr>
      <vt:lpstr>ausflugpropersonundtag</vt:lpstr>
      <vt:lpstr>'accueil-vacances'!Druckbereich</vt:lpstr>
      <vt:lpstr>Nachfrage2!Druckbereich</vt:lpstr>
      <vt:lpstr>'accueil-vacances'!Drucktitel</vt:lpstr>
      <vt:lpstr>einrichtung</vt:lpstr>
      <vt:lpstr>einrichtungprokindundtag</vt:lpstr>
      <vt:lpstr>eltern</vt:lpstr>
      <vt:lpstr>eltern_</vt:lpstr>
      <vt:lpstr>eltern2</vt:lpstr>
      <vt:lpstr>gemeinde</vt:lpstr>
      <vt:lpstr>kanton</vt:lpstr>
      <vt:lpstr>'accueil-vacances'!kinder_</vt:lpstr>
      <vt:lpstr>'accueil-vacances'!lohn1</vt:lpstr>
      <vt:lpstr>'accueil-vacances'!lohn2</vt:lpstr>
      <vt:lpstr>personalprotag</vt:lpstr>
      <vt:lpstr>personen</vt:lpstr>
      <vt:lpstr>personmit</vt:lpstr>
      <vt:lpstr>personohne</vt:lpstr>
      <vt:lpstr>raum</vt:lpstr>
      <vt:lpstr>raumprotag</vt:lpstr>
      <vt:lpstr>'accueil-vacances'!schlüssel</vt:lpstr>
      <vt:lpstr>'accueil-vacances'!sozial</vt:lpstr>
      <vt:lpstr>sozialv</vt:lpstr>
      <vt:lpstr>stunden</vt:lpstr>
      <vt:lpstr>tage_</vt:lpstr>
      <vt:lpstr>'accueil-vacances'!tageprojahr</vt:lpstr>
      <vt:lpstr>tarif</vt:lpstr>
      <vt:lpstr>verpflegung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Outil budgétaire Structures d'accueil durant les vacances scolaires</dc:title>
  <dc:subject>Structures d'accueil durant les vacances scolaires</dc:subject>
  <dc:creator>AKVB</dc:creator>
  <cp:lastModifiedBy>Aellig Daniela, BKD-AKVB-FBS</cp:lastModifiedBy>
  <cp:lastPrinted>2020-03-10T13:09:11Z</cp:lastPrinted>
  <dcterms:created xsi:type="dcterms:W3CDTF">2001-05-21T14:39:21Z</dcterms:created>
  <dcterms:modified xsi:type="dcterms:W3CDTF">2021-07-08T08:45:22Z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