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240" windowWidth="12590" windowHeight="11460" activeTab="0"/>
  </bookViews>
  <sheets>
    <sheet name="Start" sheetId="1" r:id="rId1"/>
    <sheet name="Adresse" sheetId="2" r:id="rId2"/>
    <sheet name="Eckwerte" sheetId="3" r:id="rId3"/>
    <sheet name="Datenerfassung" sheetId="4" r:id="rId4"/>
    <sheet name="Belegetext" sheetId="5" r:id="rId5"/>
    <sheet name="Rechnung" sheetId="6" r:id="rId6"/>
    <sheet name="Berechnung" sheetId="7" r:id="rId7"/>
  </sheets>
  <definedNames/>
  <calcPr fullCalcOnLoad="1"/>
</workbook>
</file>

<file path=xl/comments6.xml><?xml version="1.0" encoding="utf-8"?>
<comments xmlns="http://schemas.openxmlformats.org/spreadsheetml/2006/main">
  <authors>
    <author>Glogger Doris</author>
  </authors>
  <commentList>
    <comment ref="B18" authorId="0">
      <text>
        <r>
          <rPr>
            <sz val="9"/>
            <rFont val="Tahoma"/>
            <family val="2"/>
          </rPr>
          <t>Textfeld für Kundennummer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Feld für Eingabe Kundennummer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 xml:space="preserve">Textfeld für Rechnungsnummer
</t>
        </r>
      </text>
    </comment>
    <comment ref="G18" authorId="0">
      <text>
        <r>
          <rPr>
            <sz val="9"/>
            <rFont val="Tahoma"/>
            <family val="2"/>
          </rPr>
          <t xml:space="preserve">Feld Eiingabe Rechnungsnummer
</t>
        </r>
      </text>
    </comment>
    <comment ref="B36" authorId="0">
      <text>
        <r>
          <rPr>
            <sz val="9"/>
            <rFont val="Tahoma"/>
            <family val="2"/>
          </rPr>
          <t xml:space="preserve">Textzeile für Rechnungskorrektur: Beispiel nachträgliche Gutschrift.
</t>
        </r>
      </text>
    </comment>
    <comment ref="L36" authorId="0">
      <text>
        <r>
          <rPr>
            <sz val="9"/>
            <rFont val="Tahoma"/>
            <family val="2"/>
          </rPr>
          <t xml:space="preserve">Betrag Eingabe: Achtung Gutschrift muss mit Minus eingegeben werden.
</t>
        </r>
      </text>
    </comment>
  </commentList>
</comments>
</file>

<file path=xl/sharedStrings.xml><?xml version="1.0" encoding="utf-8"?>
<sst xmlns="http://schemas.openxmlformats.org/spreadsheetml/2006/main" count="192" uniqueCount="167">
  <si>
    <t>Eckwerte</t>
  </si>
  <si>
    <t>maximal</t>
  </si>
  <si>
    <t>minimal</t>
  </si>
  <si>
    <t>Familienrabatt</t>
  </si>
  <si>
    <t>Verpflegungskosten</t>
  </si>
  <si>
    <t>Adresse</t>
  </si>
  <si>
    <t>Beispiel</t>
  </si>
  <si>
    <t>Leitung</t>
  </si>
  <si>
    <t>Vorname Name</t>
  </si>
  <si>
    <t>Personalien</t>
  </si>
  <si>
    <t>Abzüge</t>
  </si>
  <si>
    <t>Zusammenzug</t>
  </si>
  <si>
    <t>Anzahl</t>
  </si>
  <si>
    <t>Betreuungsangebot</t>
  </si>
  <si>
    <t>Unterschrift der Mutter</t>
  </si>
  <si>
    <t>Unterschrift des Vaters</t>
  </si>
  <si>
    <t>Unterschrift der Leiterin</t>
  </si>
  <si>
    <t>Name Institution</t>
  </si>
  <si>
    <t>Strasse</t>
  </si>
  <si>
    <t>PLZ und Ort</t>
  </si>
  <si>
    <t>Belegtext, Bemerkungen</t>
  </si>
  <si>
    <t>Betreuungsstunden pro Woche</t>
  </si>
  <si>
    <t>Einkommen aus selbständiger Erwerbstätigkeit</t>
  </si>
  <si>
    <t>CHF</t>
  </si>
  <si>
    <t>Finkenrain 12</t>
  </si>
  <si>
    <t>3013 Bern</t>
  </si>
  <si>
    <t>Stefanie Küng</t>
  </si>
  <si>
    <t>Telefon</t>
  </si>
  <si>
    <t>Zahlungsbedingungen: zahlbar innert 30 Tagen</t>
  </si>
  <si>
    <t>Kontaktperson Rechnung</t>
  </si>
  <si>
    <t>Telefon für Rücksprache</t>
  </si>
  <si>
    <t>Gebühr / Stunde</t>
  </si>
  <si>
    <t>Rechnung</t>
  </si>
  <si>
    <t>Betreuungsstunden / Tag maximal</t>
  </si>
  <si>
    <t>031 000 00 00</t>
  </si>
  <si>
    <t>Elisabeth Adam</t>
  </si>
  <si>
    <t>Verpflegungsgebühr</t>
  </si>
  <si>
    <t>E K</t>
  </si>
  <si>
    <t>Betreuungsgebühr pro Stunde</t>
  </si>
  <si>
    <t>Anzahl z'Vieri</t>
  </si>
  <si>
    <t>Rechnungsadresse / Name</t>
  </si>
  <si>
    <t>Familienadresse / Name
(falls nicht Rechnungsadresse)</t>
  </si>
  <si>
    <t>Anzahl Frühstück</t>
  </si>
  <si>
    <t>Vermögen</t>
  </si>
  <si>
    <t>zu</t>
  </si>
  <si>
    <t xml:space="preserve">Berechnung </t>
  </si>
  <si>
    <t>Lohn</t>
  </si>
  <si>
    <t>Massgebendes Jahreseinkommen</t>
  </si>
  <si>
    <t>Massgebendes monatliches Einkommen</t>
  </si>
  <si>
    <t>Maximaltarif</t>
  </si>
  <si>
    <t>Berechnung</t>
  </si>
  <si>
    <t>Eingabefeld</t>
  </si>
  <si>
    <t xml:space="preserve">Einkommen pro Monat </t>
  </si>
  <si>
    <t>Positionsnummer Steuern</t>
  </si>
  <si>
    <t>Berechnung Elterngebühren</t>
  </si>
  <si>
    <t>E-Mail für Rücksprache</t>
  </si>
  <si>
    <t>xx@xx</t>
  </si>
  <si>
    <t>Subvention Kanton und Gemeinde pro Betreuungsstunde</t>
  </si>
  <si>
    <t>Anzahl Mittagessen</t>
  </si>
  <si>
    <t>Anrechenbarer Vermögensanteil</t>
  </si>
  <si>
    <t>Fusszeile Rechnung</t>
  </si>
  <si>
    <t>Gesamttotal</t>
  </si>
  <si>
    <t>Total</t>
  </si>
  <si>
    <t>EK</t>
  </si>
  <si>
    <t>=(Eckwerte!D7-Eckwerte!D8)/(Eckwerte!D9-Eckwerte!D10)*(Datenerfassung!H52-Eckwerte!D10)+Eckwerte!D8</t>
  </si>
  <si>
    <t>Geburtsdatum Kind</t>
  </si>
  <si>
    <t>In der Steuererklärung ausgewiesener  Geschäftsgewinn (Durchschnitt der vergangenen drei Jahre)</t>
  </si>
  <si>
    <t>bei einer Familiengrösse von drei Personen pauschal pro Person</t>
  </si>
  <si>
    <t>hier löschen.</t>
  </si>
  <si>
    <t>Kontakt:</t>
  </si>
  <si>
    <t>3600 Thun</t>
  </si>
  <si>
    <t>Tagesschule</t>
  </si>
  <si>
    <t>bei einer Familiengrösse von vier Personen pauschal pro Person</t>
  </si>
  <si>
    <t>bei einer Familiengrösse von fünf Personen pauschal pro Person</t>
  </si>
  <si>
    <t>maximale Anzahl Betreuungstage pro Jahr</t>
  </si>
  <si>
    <t>maximale Anzahl Betreuungsstunden pro Tag</t>
  </si>
  <si>
    <t>Anzahl Ferienwochen in Abrechnungsperiode</t>
  </si>
  <si>
    <t>Abrechnungsperiode für Berechnung</t>
  </si>
  <si>
    <t>Anzahl Schulwochen in Abrechnungsperiode</t>
  </si>
  <si>
    <t>Gebühr pro Stunde</t>
  </si>
  <si>
    <t>Betreuungsgebühr für Abrechnungsperiode</t>
  </si>
  <si>
    <t>Anrede</t>
  </si>
  <si>
    <t>Familie</t>
  </si>
  <si>
    <t>Allgemeine Angaben zur Berechnung</t>
  </si>
  <si>
    <t>Formular</t>
  </si>
  <si>
    <t>Ziffer</t>
  </si>
  <si>
    <t>Einmalige individuelle Gutschriften oder Belastungen können direkt in der Rechnung eingegeben werden.</t>
  </si>
  <si>
    <t>Kind (Vorname / Name)</t>
  </si>
  <si>
    <t>für die Periode vom</t>
  </si>
  <si>
    <t>Gebühren für die Betreuung</t>
  </si>
  <si>
    <t>Gebühren für die Verpflegung</t>
  </si>
  <si>
    <t>Total Gebühren für die Abrechnungsperiode</t>
  </si>
  <si>
    <t xml:space="preserve">Betreuungs- und Mahlzeitengebühren für Abrechnungsperiode </t>
  </si>
  <si>
    <t>Betreuungsstunden Pro Tag</t>
  </si>
  <si>
    <t>Max Betreuung</t>
  </si>
  <si>
    <t>Tage in Wochen</t>
  </si>
  <si>
    <t>Gebühren pro Mittagessen und Anzahl pro Woche</t>
  </si>
  <si>
    <t>Gebühren pro Frühstück und Anzahl pro Woche</t>
  </si>
  <si>
    <t>Gebühren pro z'Vieri und Anzahl pro Woche</t>
  </si>
  <si>
    <t>Abzug</t>
  </si>
  <si>
    <t>FG</t>
  </si>
  <si>
    <t>Gesamttotal Betreuungsstunden</t>
  </si>
  <si>
    <t>Anzahl ausfallende Betreuungsstunden in Abrechnungsperiode (z. B. Sporttag, Karfreitag usw.)</t>
  </si>
  <si>
    <t>bei einer Familiengrösse ab sechs Personen pauschal pro Person</t>
  </si>
  <si>
    <t>Total Abzüge</t>
  </si>
  <si>
    <t>Bezahlte Unterhaltsbeiträge</t>
  </si>
  <si>
    <t>Davon 5%</t>
  </si>
  <si>
    <t>Abzug Betreuungsstunden infolge Schulausfällen</t>
  </si>
  <si>
    <t>Abzug Betreuungsstunden</t>
  </si>
  <si>
    <t>Abzug bezahlte Unterhaltsbeiträge</t>
  </si>
  <si>
    <t>Abzüge UB</t>
  </si>
  <si>
    <t>Mustergasse 11</t>
  </si>
  <si>
    <t>Einkünfte</t>
  </si>
  <si>
    <t>Weitere Einkünfte</t>
  </si>
  <si>
    <t>Betreuungsstunden für Abrechnungsperiode</t>
  </si>
  <si>
    <r>
      <t xml:space="preserve">Grunddaten zur Berechnung (basierend auf dem Vorjahr)
</t>
    </r>
    <r>
      <rPr>
        <b/>
        <sz val="10"/>
        <color indexed="8"/>
        <rFont val="Arial"/>
        <family val="2"/>
      </rPr>
      <t>Einkünfte aus</t>
    </r>
    <r>
      <rPr>
        <b/>
        <sz val="12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unselbständiger und selbständiger Erwerbstätigkeit</t>
    </r>
  </si>
  <si>
    <t>Nettovermögen</t>
  </si>
  <si>
    <t>Fränzi Muster</t>
  </si>
  <si>
    <t>Abzüge für Familiengrösse</t>
  </si>
  <si>
    <t>Massgebendes Einkommen</t>
  </si>
  <si>
    <t>Anz.</t>
  </si>
  <si>
    <t>Wo.</t>
  </si>
  <si>
    <t>Dat.</t>
  </si>
  <si>
    <t>h</t>
  </si>
  <si>
    <t>Bildungs- und Kulturdirektion des Kantons Bern</t>
  </si>
  <si>
    <t>2.22/2.23</t>
  </si>
  <si>
    <t>Abzug für Familiengrösse</t>
  </si>
  <si>
    <t>bei einer Familiengrösse von 3 Personen pauschal</t>
  </si>
  <si>
    <t>bei einer Familiengrösse von 4 Personen pauschal</t>
  </si>
  <si>
    <t>bei einer Familiengrösse von 5 Personen pauschal</t>
  </si>
  <si>
    <t>bei einer Familiengrösse von 6 Personen pauschal</t>
  </si>
  <si>
    <t>Antragsteller/in I</t>
  </si>
  <si>
    <t>Antragsteller/in II</t>
  </si>
  <si>
    <t>Tagesschule Muster</t>
  </si>
  <si>
    <t>Antragsteller/in I (Vorname  / Name)</t>
  </si>
  <si>
    <t>Antragsteller/in II (Vorname / Name)</t>
  </si>
  <si>
    <t>Nettolohn</t>
  </si>
  <si>
    <t>weitere steuerbare Einkünfte</t>
  </si>
  <si>
    <t>Ersatzeinkommen</t>
  </si>
  <si>
    <t>erhaltene Unterhaltsbeiträge</t>
  </si>
  <si>
    <t>Geschäftsgewinn - Durchschnitt der letzten 3 Jahre</t>
  </si>
  <si>
    <t>9/10/8</t>
  </si>
  <si>
    <t>9210/9210/8.1/8.2</t>
  </si>
  <si>
    <t xml:space="preserve">3
7
</t>
  </si>
  <si>
    <t>31 minus 53
7.1</t>
  </si>
  <si>
    <t>8</t>
  </si>
  <si>
    <t>Einkommen aus Erbengemeinschaften/Miteingentümerschaften</t>
  </si>
  <si>
    <t>5</t>
  </si>
  <si>
    <t>5.1</t>
  </si>
  <si>
    <t>Abzug für geleistete Unterhaltsbeiträge</t>
  </si>
  <si>
    <t>4</t>
  </si>
  <si>
    <t>Schuldzinsen (Zinsen)</t>
  </si>
  <si>
    <t>Gewinnungskosten</t>
  </si>
  <si>
    <t>3
7</t>
  </si>
  <si>
    <t>51
7.2</t>
  </si>
  <si>
    <t>3
4
4
7
4
8</t>
  </si>
  <si>
    <t>32 minus 53
4.1
4.2
7.0
4.3
8.3</t>
  </si>
  <si>
    <t>5% des Nettovermögens</t>
  </si>
  <si>
    <t>Zwischentotal (Einkünfte und Vermögen)</t>
  </si>
  <si>
    <t>Hans Muster</t>
  </si>
  <si>
    <t>Einkommen Antragsteller/in I</t>
  </si>
  <si>
    <t>Einkommen Antragsteller/in II</t>
  </si>
  <si>
    <t>Bruttoerträge aus beweglichem und unbeweglichem Vermögen</t>
  </si>
  <si>
    <r>
      <t xml:space="preserve">Gewichtete Anzahl der Familienmitglieder
</t>
    </r>
    <r>
      <rPr>
        <i/>
        <sz val="10"/>
        <rFont val="Arial"/>
        <family val="2"/>
      </rPr>
      <t>(Kinder mit geteilter Obhut werden mit 0.5 gerechnet)</t>
    </r>
  </si>
  <si>
    <r>
      <t xml:space="preserve">Familiengrösse gemäss Tagesschulverordnung Artikel 14
</t>
    </r>
    <r>
      <rPr>
        <i/>
        <sz val="10"/>
        <rFont val="Arial"/>
        <family val="2"/>
      </rPr>
      <t>(Antragstellende + Kinder der Antragstellenden)</t>
    </r>
  </si>
  <si>
    <t>Version 1.1/2023</t>
  </si>
  <si>
    <t xml:space="preserve">Kontakt: Camille Cuvit, 031 636 59 36, camille.cuvit@be.ch </t>
  </si>
</sst>
</file>

<file path=xl/styles.xml><?xml version="1.0" encoding="utf-8"?>
<styleSheet xmlns="http://schemas.openxmlformats.org/spreadsheetml/2006/main">
  <numFmts count="5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0__;;;"/>
    <numFmt numFmtId="177" formatCode="dd/mm/yyyy;@"/>
    <numFmt numFmtId="178" formatCode="0__;;;"/>
    <numFmt numFmtId="179" formatCode="0__"/>
    <numFmt numFmtId="180" formatCode="dd/mm/yyyy__"/>
    <numFmt numFmtId="181" formatCode="0.00__"/>
    <numFmt numFmtId="182" formatCode="[$-807]d/\ mmmm\ yyyy;@"/>
    <numFmt numFmtId="183" formatCode="_ [$CHF]\ * #,##0.00_ ;_ [$CHF]\ * \-#,##0.00_ ;_ [$CHF]\ * &quot;-&quot;??_ ;_ @_ "/>
    <numFmt numFmtId="184" formatCode="[$CHF]\ #,##0.00;[$CHF]\ \-#,##0.00"/>
    <numFmt numFmtId="185" formatCode="0.00\ &quot;h&quot;"/>
    <numFmt numFmtId="186" formatCode="[$CHF]\ #,##0.00"/>
    <numFmt numFmtId="187" formatCode="#,##0.00_ ;\-#,##0.00\ 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_ [$h]\ * #,##0.00_ ;_ [$h]\ * \-#,##0.00_ ;_ [$h]\ * &quot;-&quot;??_ ;_ @_ "/>
    <numFmt numFmtId="193" formatCode="&quot;h&quot;\ 0.00"/>
    <numFmt numFmtId="194" formatCode="[$-807]dddd\,\ d\.\ mmmm\ yyyy"/>
    <numFmt numFmtId="195" formatCode="_ [$W]\ * #,##0.00_ ;_ [$W]\ * \-#,##0.00_ ;_ [$W]\ * &quot;-&quot;??_ ;_ @_ "/>
    <numFmt numFmtId="196" formatCode="_ [$T]\ * #,##0.00_ ;_ [$T]\ * \-#,##0.00_ ;_ [$T]\ * &quot;-&quot;??_ ;_ @_ "/>
    <numFmt numFmtId="197" formatCode="dd/\ m/\ yy;@"/>
    <numFmt numFmtId="198" formatCode="_ [$CHF]\ * #,##0.000_ ;_ [$CHF]\ * \-#,##0.000_ ;_ [$CHF]\ * &quot;-&quot;??_ ;_ @_ "/>
    <numFmt numFmtId="199" formatCode="_ [$CHF]\ * #,##0.0000_ ;_ [$CHF]\ * \-#,##0.0000_ ;_ [$CHF]\ * &quot;-&quot;??_ ;_ @_ "/>
    <numFmt numFmtId="200" formatCode="_ [$CHF]\ * #,##0.00000_ ;_ [$CHF]\ * \-#,##0.00000_ ;_ [$CHF]\ * &quot;-&quot;??_ ;_ @_ "/>
    <numFmt numFmtId="201" formatCode="_ [$CHF]\ * #,##0.000000_ ;_ [$CHF]\ * \-#,##0.000000_ ;_ [$CHF]\ * &quot;-&quot;??_ ;_ @_ "/>
    <numFmt numFmtId="202" formatCode="_ [$CHF]\ * #,##0.0000000_ ;_ [$CHF]\ * \-#,##0.0000000_ ;_ [$CHF]\ * &quot;-&quot;??_ ;_ @_ "/>
    <numFmt numFmtId="203" formatCode="_ [$CHF]\ * #,##0.00000000_ ;_ [$CHF]\ * \-#,##0.00000000_ ;_ [$CHF]\ * &quot;-&quot;??_ ;_ @_ "/>
    <numFmt numFmtId="204" formatCode="_ [$CHF]\ * #,##0.000000000_ ;_ [$CHF]\ * \-#,##0.000000000_ ;_ [$CHF]\ * &quot;-&quot;??_ ;_ @_ "/>
    <numFmt numFmtId="205" formatCode="0.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2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5"/>
      <color indexed="63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thick"/>
      <right/>
      <top/>
      <bottom style="thin"/>
    </border>
    <border>
      <left/>
      <right/>
      <top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 style="thick"/>
      <top/>
      <bottom style="thick"/>
    </border>
    <border>
      <left/>
      <right/>
      <top style="thin"/>
      <bottom style="thick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 style="double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ck"/>
      <top style="thick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ck"/>
      <top style="thin"/>
      <bottom style="thick"/>
    </border>
    <border>
      <left/>
      <right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ck"/>
      <top/>
      <bottom style="thick"/>
    </border>
    <border>
      <left/>
      <right style="thin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465">
    <xf numFmtId="0" fontId="0" fillId="0" borderId="0" xfId="0" applyAlignment="1">
      <alignment/>
    </xf>
    <xf numFmtId="176" fontId="5" fillId="33" borderId="10" xfId="0" applyNumberFormat="1" applyFont="1" applyFill="1" applyBorder="1" applyAlignment="1">
      <alignment/>
    </xf>
    <xf numFmtId="176" fontId="5" fillId="33" borderId="11" xfId="0" applyNumberFormat="1" applyFont="1" applyFill="1" applyBorder="1" applyAlignment="1">
      <alignment/>
    </xf>
    <xf numFmtId="0" fontId="5" fillId="34" borderId="12" xfId="0" applyFont="1" applyFill="1" applyBorder="1" applyAlignment="1" applyProtection="1">
      <alignment horizontal="left" vertical="center" indent="1"/>
      <protection/>
    </xf>
    <xf numFmtId="0" fontId="3" fillId="34" borderId="13" xfId="0" applyFont="1" applyFill="1" applyBorder="1" applyAlignment="1" applyProtection="1">
      <alignment horizontal="left" vertical="center" indent="1"/>
      <protection/>
    </xf>
    <xf numFmtId="0" fontId="3" fillId="34" borderId="14" xfId="0" applyFont="1" applyFill="1" applyBorder="1" applyAlignment="1" applyProtection="1">
      <alignment horizontal="left" vertical="center" indent="1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>
      <alignment horizontal="left" vertical="center" indent="1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 indent="1"/>
    </xf>
    <xf numFmtId="0" fontId="3" fillId="35" borderId="19" xfId="0" applyFont="1" applyFill="1" applyBorder="1" applyAlignment="1">
      <alignment horizontal="left" vertical="center"/>
    </xf>
    <xf numFmtId="0" fontId="3" fillId="35" borderId="20" xfId="0" applyFont="1" applyFill="1" applyBorder="1" applyAlignment="1">
      <alignment horizontal="left" vertical="center" indent="1"/>
    </xf>
    <xf numFmtId="0" fontId="2" fillId="35" borderId="21" xfId="0" applyFont="1" applyFill="1" applyBorder="1" applyAlignment="1" applyProtection="1">
      <alignment horizontal="left" vertical="center" indent="1"/>
      <protection/>
    </xf>
    <xf numFmtId="180" fontId="0" fillId="36" borderId="2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 applyAlignment="1">
      <alignment/>
    </xf>
    <xf numFmtId="0" fontId="0" fillId="36" borderId="23" xfId="0" applyNumberFormat="1" applyFont="1" applyFill="1" applyBorder="1" applyAlignment="1" applyProtection="1" quotePrefix="1">
      <alignment horizontal="left" vertical="top" wrapText="1" indent="1"/>
      <protection locked="0"/>
    </xf>
    <xf numFmtId="0" fontId="3" fillId="37" borderId="24" xfId="0" applyNumberFormat="1" applyFont="1" applyFill="1" applyBorder="1" applyAlignment="1" applyProtection="1">
      <alignment horizontal="left" vertical="center" indent="2"/>
      <protection locked="0"/>
    </xf>
    <xf numFmtId="0" fontId="3" fillId="37" borderId="25" xfId="0" applyNumberFormat="1" applyFont="1" applyFill="1" applyBorder="1" applyAlignment="1" applyProtection="1">
      <alignment horizontal="left" vertical="center" indent="2"/>
      <protection locked="0"/>
    </xf>
    <xf numFmtId="0" fontId="5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/>
    </xf>
    <xf numFmtId="179" fontId="5" fillId="33" borderId="26" xfId="0" applyNumberFormat="1" applyFont="1" applyFill="1" applyBorder="1" applyAlignment="1">
      <alignment/>
    </xf>
    <xf numFmtId="0" fontId="3" fillId="35" borderId="27" xfId="0" applyFont="1" applyFill="1" applyBorder="1" applyAlignment="1">
      <alignment horizontal="left" vertical="center" indent="1"/>
    </xf>
    <xf numFmtId="0" fontId="3" fillId="35" borderId="28" xfId="0" applyFont="1" applyFill="1" applyBorder="1" applyAlignment="1">
      <alignment vertical="center"/>
    </xf>
    <xf numFmtId="176" fontId="5" fillId="33" borderId="29" xfId="0" applyNumberFormat="1" applyFont="1" applyFill="1" applyBorder="1" applyAlignment="1">
      <alignment/>
    </xf>
    <xf numFmtId="0" fontId="3" fillId="35" borderId="30" xfId="0" applyFont="1" applyFill="1" applyBorder="1" applyAlignment="1">
      <alignment horizontal="left" vertical="center"/>
    </xf>
    <xf numFmtId="0" fontId="3" fillId="37" borderId="31" xfId="0" applyNumberFormat="1" applyFont="1" applyFill="1" applyBorder="1" applyAlignment="1" applyProtection="1">
      <alignment horizontal="left" vertical="center" indent="2"/>
      <protection locked="0"/>
    </xf>
    <xf numFmtId="183" fontId="0" fillId="36" borderId="32" xfId="0" applyNumberFormat="1" applyFont="1" applyFill="1" applyBorder="1" applyAlignment="1" applyProtection="1">
      <alignment vertical="center"/>
      <protection locked="0"/>
    </xf>
    <xf numFmtId="183" fontId="0" fillId="36" borderId="33" xfId="0" applyNumberFormat="1" applyFont="1" applyFill="1" applyBorder="1" applyAlignment="1" applyProtection="1">
      <alignment horizontal="right" vertical="center"/>
      <protection locked="0"/>
    </xf>
    <xf numFmtId="183" fontId="0" fillId="36" borderId="33" xfId="0" applyNumberFormat="1" applyFont="1" applyFill="1" applyBorder="1" applyAlignment="1" applyProtection="1">
      <alignment vertical="center"/>
      <protection locked="0"/>
    </xf>
    <xf numFmtId="183" fontId="0" fillId="36" borderId="34" xfId="0" applyNumberFormat="1" applyFont="1" applyFill="1" applyBorder="1" applyAlignment="1" applyProtection="1">
      <alignment vertical="center"/>
      <protection locked="0"/>
    </xf>
    <xf numFmtId="183" fontId="0" fillId="36" borderId="35" xfId="0" applyNumberFormat="1" applyFont="1" applyFill="1" applyBorder="1" applyAlignment="1" applyProtection="1">
      <alignment vertical="center"/>
      <protection locked="0"/>
    </xf>
    <xf numFmtId="183" fontId="0" fillId="0" borderId="0" xfId="0" applyNumberFormat="1" applyAlignment="1">
      <alignment/>
    </xf>
    <xf numFmtId="18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0" fontId="3" fillId="34" borderId="36" xfId="0" applyFont="1" applyFill="1" applyBorder="1" applyAlignment="1" applyProtection="1">
      <alignment horizontal="left" vertical="center" indent="1"/>
      <protection/>
    </xf>
    <xf numFmtId="182" fontId="0" fillId="0" borderId="0" xfId="0" applyNumberFormat="1" applyAlignment="1">
      <alignment horizontal="left"/>
    </xf>
    <xf numFmtId="43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183" fontId="0" fillId="0" borderId="0" xfId="0" applyNumberFormat="1" applyBorder="1" applyAlignment="1">
      <alignment/>
    </xf>
    <xf numFmtId="183" fontId="0" fillId="0" borderId="0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183" fontId="7" fillId="0" borderId="37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83" fontId="0" fillId="0" borderId="17" xfId="0" applyNumberFormat="1" applyBorder="1" applyAlignment="1">
      <alignment/>
    </xf>
    <xf numFmtId="0" fontId="7" fillId="0" borderId="0" xfId="0" applyFont="1" applyAlignment="1">
      <alignment horizontal="left"/>
    </xf>
    <xf numFmtId="183" fontId="0" fillId="36" borderId="38" xfId="0" applyNumberFormat="1" applyFont="1" applyFill="1" applyBorder="1" applyAlignment="1" applyProtection="1">
      <alignment vertical="center"/>
      <protection locked="0"/>
    </xf>
    <xf numFmtId="183" fontId="0" fillId="36" borderId="22" xfId="0" applyNumberFormat="1" applyFont="1" applyFill="1" applyBorder="1" applyAlignment="1" applyProtection="1">
      <alignment vertical="center"/>
      <protection locked="0"/>
    </xf>
    <xf numFmtId="0" fontId="7" fillId="0" borderId="17" xfId="0" applyFont="1" applyBorder="1" applyAlignment="1">
      <alignment/>
    </xf>
    <xf numFmtId="43" fontId="0" fillId="0" borderId="0" xfId="0" applyNumberFormat="1" applyBorder="1" applyAlignment="1">
      <alignment/>
    </xf>
    <xf numFmtId="2" fontId="0" fillId="0" borderId="0" xfId="0" applyNumberFormat="1" applyFont="1" applyAlignment="1">
      <alignment/>
    </xf>
    <xf numFmtId="185" fontId="0" fillId="0" borderId="0" xfId="0" applyNumberFormat="1" applyFont="1" applyAlignment="1">
      <alignment horizontal="left"/>
    </xf>
    <xf numFmtId="4" fontId="7" fillId="0" borderId="17" xfId="0" applyNumberFormat="1" applyFont="1" applyBorder="1" applyAlignment="1">
      <alignment/>
    </xf>
    <xf numFmtId="0" fontId="0" fillId="36" borderId="39" xfId="0" applyNumberFormat="1" applyFont="1" applyFill="1" applyBorder="1" applyAlignment="1" applyProtection="1">
      <alignment horizontal="left" vertical="center" indent="1"/>
      <protection locked="0"/>
    </xf>
    <xf numFmtId="0" fontId="0" fillId="36" borderId="40" xfId="0" applyNumberFormat="1" applyFont="1" applyFill="1" applyBorder="1" applyAlignment="1" applyProtection="1">
      <alignment horizontal="left" vertical="center" indent="1"/>
      <protection locked="0"/>
    </xf>
    <xf numFmtId="0" fontId="0" fillId="36" borderId="24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83" fontId="0" fillId="0" borderId="0" xfId="0" applyNumberFormat="1" applyFont="1" applyAlignment="1" applyProtection="1">
      <alignment horizontal="left"/>
      <protection locked="0"/>
    </xf>
    <xf numFmtId="0" fontId="2" fillId="38" borderId="0" xfId="0" applyFont="1" applyFill="1" applyBorder="1" applyAlignment="1" applyProtection="1">
      <alignment horizontal="center" vertical="center"/>
      <protection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0" fontId="4" fillId="38" borderId="41" xfId="0" applyFont="1" applyFill="1" applyBorder="1" applyAlignment="1" applyProtection="1">
      <alignment horizontal="left" vertical="center" indent="1"/>
      <protection/>
    </xf>
    <xf numFmtId="0" fontId="3" fillId="38" borderId="0" xfId="0" applyFont="1" applyFill="1" applyAlignment="1" applyProtection="1">
      <alignment vertical="center"/>
      <protection/>
    </xf>
    <xf numFmtId="0" fontId="0" fillId="39" borderId="0" xfId="0" applyFill="1" applyAlignment="1">
      <alignment/>
    </xf>
    <xf numFmtId="0" fontId="2" fillId="39" borderId="0" xfId="0" applyFont="1" applyFill="1" applyBorder="1" applyAlignment="1" applyProtection="1">
      <alignment horizontal="center" vertical="center"/>
      <protection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8" fillId="0" borderId="0" xfId="52" applyFont="1" applyFill="1">
      <alignment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8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183" fontId="0" fillId="0" borderId="4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0" fontId="0" fillId="0" borderId="42" xfId="0" applyFont="1" applyBorder="1" applyAlignment="1">
      <alignment/>
    </xf>
    <xf numFmtId="183" fontId="0" fillId="0" borderId="46" xfId="0" applyNumberFormat="1" applyBorder="1" applyAlignment="1">
      <alignment/>
    </xf>
    <xf numFmtId="183" fontId="0" fillId="0" borderId="47" xfId="0" applyNumberFormat="1" applyBorder="1" applyAlignment="1">
      <alignment/>
    </xf>
    <xf numFmtId="0" fontId="3" fillId="35" borderId="28" xfId="0" applyFont="1" applyFill="1" applyBorder="1" applyAlignment="1">
      <alignment horizontal="left" vertical="center"/>
    </xf>
    <xf numFmtId="181" fontId="5" fillId="33" borderId="29" xfId="0" applyNumberFormat="1" applyFont="1" applyFill="1" applyBorder="1" applyAlignment="1">
      <alignment/>
    </xf>
    <xf numFmtId="176" fontId="5" fillId="33" borderId="48" xfId="0" applyNumberFormat="1" applyFont="1" applyFill="1" applyBorder="1" applyAlignment="1">
      <alignment/>
    </xf>
    <xf numFmtId="0" fontId="6" fillId="37" borderId="31" xfId="47" applyNumberFormat="1" applyFill="1" applyBorder="1" applyAlignment="1" applyProtection="1">
      <alignment horizontal="left" vertical="center" indent="2"/>
      <protection locked="0"/>
    </xf>
    <xf numFmtId="0" fontId="0" fillId="36" borderId="23" xfId="0" applyNumberFormat="1" applyFont="1" applyFill="1" applyBorder="1" applyAlignment="1" applyProtection="1" quotePrefix="1">
      <alignment horizontal="left" vertical="top" wrapText="1" indent="1"/>
      <protection locked="0"/>
    </xf>
    <xf numFmtId="0" fontId="0" fillId="39" borderId="0" xfId="0" applyFont="1" applyFill="1" applyAlignment="1">
      <alignment vertical="top" wrapText="1"/>
    </xf>
    <xf numFmtId="10" fontId="0" fillId="0" borderId="43" xfId="0" applyNumberFormat="1" applyBorder="1" applyAlignment="1">
      <alignment/>
    </xf>
    <xf numFmtId="10" fontId="0" fillId="0" borderId="46" xfId="0" applyNumberFormat="1" applyFont="1" applyBorder="1" applyAlignment="1">
      <alignment/>
    </xf>
    <xf numFmtId="0" fontId="0" fillId="0" borderId="44" xfId="0" applyFont="1" applyBorder="1" applyAlignment="1">
      <alignment/>
    </xf>
    <xf numFmtId="187" fontId="0" fillId="0" borderId="0" xfId="0" applyNumberFormat="1" applyBorder="1" applyAlignment="1">
      <alignment/>
    </xf>
    <xf numFmtId="0" fontId="0" fillId="0" borderId="40" xfId="0" applyFont="1" applyBorder="1" applyAlignment="1">
      <alignment/>
    </xf>
    <xf numFmtId="183" fontId="0" fillId="0" borderId="17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14" fillId="39" borderId="0" xfId="0" applyFont="1" applyFill="1" applyAlignment="1">
      <alignment/>
    </xf>
    <xf numFmtId="0" fontId="14" fillId="0" borderId="0" xfId="52" applyFont="1" applyFill="1">
      <alignment/>
      <protection/>
    </xf>
    <xf numFmtId="0" fontId="14" fillId="0" borderId="0" xfId="52" applyFont="1">
      <alignment/>
      <protection/>
    </xf>
    <xf numFmtId="0" fontId="0" fillId="39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0" borderId="49" xfId="0" applyFont="1" applyBorder="1" applyAlignment="1">
      <alignment/>
    </xf>
    <xf numFmtId="4" fontId="0" fillId="0" borderId="49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47" applyAlignment="1" applyProtection="1">
      <alignment/>
      <protection/>
    </xf>
    <xf numFmtId="0" fontId="0" fillId="0" borderId="0" xfId="52" applyAlignment="1">
      <alignment/>
      <protection/>
    </xf>
    <xf numFmtId="0" fontId="0" fillId="0" borderId="0" xfId="52" applyFill="1" applyAlignment="1">
      <alignment/>
      <protection/>
    </xf>
    <xf numFmtId="0" fontId="13" fillId="0" borderId="0" xfId="0" applyFont="1" applyAlignment="1">
      <alignment horizontal="left"/>
    </xf>
    <xf numFmtId="0" fontId="3" fillId="35" borderId="50" xfId="0" applyFont="1" applyFill="1" applyBorder="1" applyAlignment="1">
      <alignment horizontal="left" vertical="center"/>
    </xf>
    <xf numFmtId="0" fontId="3" fillId="35" borderId="51" xfId="0" applyFont="1" applyFill="1" applyBorder="1" applyAlignment="1">
      <alignment horizontal="left" vertical="center"/>
    </xf>
    <xf numFmtId="179" fontId="5" fillId="33" borderId="31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0" xfId="52" applyFont="1">
      <alignment/>
      <protection/>
    </xf>
    <xf numFmtId="0" fontId="0" fillId="36" borderId="52" xfId="0" applyNumberFormat="1" applyFont="1" applyFill="1" applyBorder="1" applyAlignment="1" applyProtection="1">
      <alignment horizontal="left" vertical="center" indent="1"/>
      <protection locked="0"/>
    </xf>
    <xf numFmtId="183" fontId="0" fillId="36" borderId="53" xfId="0" applyNumberFormat="1" applyFont="1" applyFill="1" applyBorder="1" applyAlignment="1" applyProtection="1">
      <alignment vertical="center"/>
      <protection locked="0"/>
    </xf>
    <xf numFmtId="183" fontId="0" fillId="36" borderId="26" xfId="0" applyNumberFormat="1" applyFont="1" applyFill="1" applyBorder="1" applyAlignment="1" applyProtection="1">
      <alignment vertical="center"/>
      <protection locked="0"/>
    </xf>
    <xf numFmtId="0" fontId="0" fillId="36" borderId="24" xfId="0" applyNumberFormat="1" applyFont="1" applyFill="1" applyBorder="1" applyAlignment="1" applyProtection="1">
      <alignment horizontal="left" vertical="center" indent="1"/>
      <protection locked="0"/>
    </xf>
    <xf numFmtId="0" fontId="0" fillId="36" borderId="33" xfId="0" applyNumberFormat="1" applyFont="1" applyFill="1" applyBorder="1" applyAlignment="1" applyProtection="1">
      <alignment horizontal="left" vertical="center" indent="1"/>
      <protection locked="0"/>
    </xf>
    <xf numFmtId="183" fontId="7" fillId="0" borderId="0" xfId="0" applyNumberFormat="1" applyFont="1" applyBorder="1" applyAlignment="1">
      <alignment/>
    </xf>
    <xf numFmtId="183" fontId="7" fillId="0" borderId="17" xfId="0" applyNumberFormat="1" applyFont="1" applyBorder="1" applyAlignment="1">
      <alignment/>
    </xf>
    <xf numFmtId="183" fontId="0" fillId="36" borderId="24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0" fillId="39" borderId="0" xfId="0" applyFill="1" applyAlignment="1" applyProtection="1">
      <alignment vertical="center"/>
      <protection/>
    </xf>
    <xf numFmtId="0" fontId="2" fillId="39" borderId="0" xfId="0" applyFont="1" applyFill="1" applyAlignment="1" applyProtection="1">
      <alignment vertical="center"/>
      <protection/>
    </xf>
    <xf numFmtId="0" fontId="0" fillId="39" borderId="0" xfId="0" applyFill="1" applyAlignment="1" applyProtection="1">
      <alignment/>
      <protection/>
    </xf>
    <xf numFmtId="0" fontId="5" fillId="35" borderId="54" xfId="0" applyFont="1" applyFill="1" applyBorder="1" applyAlignment="1" applyProtection="1">
      <alignment horizontal="left" vertical="center" indent="1"/>
      <protection/>
    </xf>
    <xf numFmtId="0" fontId="0" fillId="35" borderId="55" xfId="0" applyFill="1" applyBorder="1" applyAlignment="1" applyProtection="1">
      <alignment horizontal="left" vertical="center" indent="1"/>
      <protection/>
    </xf>
    <xf numFmtId="0" fontId="0" fillId="35" borderId="56" xfId="0" applyFont="1" applyFill="1" applyBorder="1" applyAlignment="1" applyProtection="1">
      <alignment horizontal="left" vertical="center" indent="1"/>
      <protection/>
    </xf>
    <xf numFmtId="0" fontId="0" fillId="39" borderId="0" xfId="0" applyFont="1" applyFill="1" applyAlignment="1" applyProtection="1">
      <alignment/>
      <protection/>
    </xf>
    <xf numFmtId="0" fontId="0" fillId="35" borderId="13" xfId="0" applyFont="1" applyFill="1" applyBorder="1" applyAlignment="1" applyProtection="1">
      <alignment horizontal="left" vertical="center" indent="1"/>
      <protection/>
    </xf>
    <xf numFmtId="0" fontId="0" fillId="35" borderId="13" xfId="0" applyFont="1" applyFill="1" applyBorder="1" applyAlignment="1" applyProtection="1">
      <alignment horizontal="left" vertical="center" indent="1"/>
      <protection/>
    </xf>
    <xf numFmtId="0" fontId="0" fillId="35" borderId="57" xfId="0" applyFont="1" applyFill="1" applyBorder="1" applyAlignment="1" applyProtection="1">
      <alignment horizontal="left" vertical="center" wrapText="1" indent="1"/>
      <protection/>
    </xf>
    <xf numFmtId="0" fontId="0" fillId="35" borderId="14" xfId="0" applyFill="1" applyBorder="1" applyAlignment="1" applyProtection="1">
      <alignment horizontal="left" vertical="center" wrapText="1" indent="1"/>
      <protection/>
    </xf>
    <xf numFmtId="0" fontId="0" fillId="35" borderId="58" xfId="0" applyFont="1" applyFill="1" applyBorder="1" applyAlignment="1" applyProtection="1">
      <alignment horizontal="left" vertical="center" wrapText="1" indent="1"/>
      <protection/>
    </xf>
    <xf numFmtId="0" fontId="5" fillId="35" borderId="59" xfId="0" applyFont="1" applyFill="1" applyBorder="1" applyAlignment="1" applyProtection="1">
      <alignment vertical="center"/>
      <protection/>
    </xf>
    <xf numFmtId="0" fontId="5" fillId="35" borderId="60" xfId="0" applyFont="1" applyFill="1" applyBorder="1" applyAlignment="1" applyProtection="1">
      <alignment vertical="center"/>
      <protection/>
    </xf>
    <xf numFmtId="2" fontId="0" fillId="39" borderId="0" xfId="0" applyNumberFormat="1" applyFill="1" applyAlignment="1" applyProtection="1">
      <alignment vertical="center"/>
      <protection/>
    </xf>
    <xf numFmtId="0" fontId="7" fillId="35" borderId="17" xfId="0" applyFont="1" applyFill="1" applyBorder="1" applyAlignment="1" applyProtection="1">
      <alignment horizontal="left" vertical="center" indent="1"/>
      <protection/>
    </xf>
    <xf numFmtId="0" fontId="0" fillId="35" borderId="19" xfId="0" applyFill="1" applyBorder="1" applyAlignment="1" applyProtection="1">
      <alignment horizontal="left" vertical="center" indent="1"/>
      <protection/>
    </xf>
    <xf numFmtId="0" fontId="0" fillId="35" borderId="19" xfId="0" applyFill="1" applyBorder="1" applyAlignment="1" applyProtection="1">
      <alignment vertical="center"/>
      <protection/>
    </xf>
    <xf numFmtId="183" fontId="0" fillId="33" borderId="52" xfId="0" applyNumberFormat="1" applyFont="1" applyFill="1" applyBorder="1" applyAlignment="1" applyProtection="1">
      <alignment horizontal="right" vertical="center"/>
      <protection/>
    </xf>
    <xf numFmtId="183" fontId="0" fillId="33" borderId="33" xfId="0" applyNumberFormat="1" applyFont="1" applyFill="1" applyBorder="1" applyAlignment="1" applyProtection="1">
      <alignment horizontal="right" vertical="center"/>
      <protection/>
    </xf>
    <xf numFmtId="183" fontId="0" fillId="33" borderId="24" xfId="0" applyNumberFormat="1" applyFont="1" applyFill="1" applyBorder="1" applyAlignment="1" applyProtection="1">
      <alignment horizontal="right" vertical="center"/>
      <protection/>
    </xf>
    <xf numFmtId="181" fontId="0" fillId="33" borderId="35" xfId="0" applyNumberFormat="1" applyFont="1" applyFill="1" applyBorder="1" applyAlignment="1" applyProtection="1">
      <alignment horizontal="right" vertical="center"/>
      <protection/>
    </xf>
    <xf numFmtId="0" fontId="7" fillId="39" borderId="0" xfId="0" applyFont="1" applyFill="1" applyAlignment="1" applyProtection="1">
      <alignment vertical="center"/>
      <protection/>
    </xf>
    <xf numFmtId="14" fontId="0" fillId="35" borderId="19" xfId="0" applyNumberFormat="1" applyFill="1" applyBorder="1" applyAlignment="1" applyProtection="1">
      <alignment vertical="center"/>
      <protection/>
    </xf>
    <xf numFmtId="0" fontId="0" fillId="35" borderId="61" xfId="0" applyFont="1" applyFill="1" applyBorder="1" applyAlignment="1" applyProtection="1">
      <alignment horizontal="left" vertical="center" indent="1"/>
      <protection/>
    </xf>
    <xf numFmtId="0" fontId="0" fillId="35" borderId="43" xfId="0" applyFill="1" applyBorder="1" applyAlignment="1" applyProtection="1">
      <alignment horizontal="left" vertical="center" indent="1"/>
      <protection/>
    </xf>
    <xf numFmtId="0" fontId="0" fillId="35" borderId="61" xfId="0" applyFont="1" applyFill="1" applyBorder="1" applyAlignment="1" applyProtection="1">
      <alignment horizontal="left" vertical="center" indent="1"/>
      <protection/>
    </xf>
    <xf numFmtId="0" fontId="12" fillId="39" borderId="0" xfId="0" applyFont="1" applyFill="1" applyAlignment="1" applyProtection="1">
      <alignment vertical="center" textRotation="90"/>
      <protection/>
    </xf>
    <xf numFmtId="0" fontId="0" fillId="35" borderId="14" xfId="0" applyFill="1" applyBorder="1" applyAlignment="1" applyProtection="1">
      <alignment horizontal="left" vertical="center" indent="1"/>
      <protection/>
    </xf>
    <xf numFmtId="0" fontId="0" fillId="35" borderId="62" xfId="0" applyFill="1" applyBorder="1" applyAlignment="1" applyProtection="1">
      <alignment horizontal="left" vertical="center" indent="1"/>
      <protection/>
    </xf>
    <xf numFmtId="0" fontId="0" fillId="35" borderId="62" xfId="0" applyFill="1" applyBorder="1" applyAlignment="1" applyProtection="1">
      <alignment vertical="center"/>
      <protection/>
    </xf>
    <xf numFmtId="0" fontId="0" fillId="39" borderId="0" xfId="0" applyFill="1" applyBorder="1" applyAlignment="1" applyProtection="1">
      <alignment horizontal="left" vertical="center" indent="1"/>
      <protection/>
    </xf>
    <xf numFmtId="14" fontId="0" fillId="39" borderId="0" xfId="0" applyNumberFormat="1" applyFill="1" applyBorder="1" applyAlignment="1" applyProtection="1">
      <alignment vertical="center"/>
      <protection/>
    </xf>
    <xf numFmtId="180" fontId="0" fillId="39" borderId="0" xfId="0" applyNumberFormat="1" applyFont="1" applyFill="1" applyBorder="1" applyAlignment="1" applyProtection="1">
      <alignment horizontal="right" vertical="center"/>
      <protection/>
    </xf>
    <xf numFmtId="0" fontId="0" fillId="35" borderId="63" xfId="0" applyFill="1" applyBorder="1" applyAlignment="1" applyProtection="1">
      <alignment horizontal="right" vertical="center"/>
      <protection/>
    </xf>
    <xf numFmtId="0" fontId="0" fillId="35" borderId="60" xfId="0" applyFill="1" applyBorder="1" applyAlignment="1" applyProtection="1">
      <alignment vertical="center"/>
      <protection/>
    </xf>
    <xf numFmtId="0" fontId="0" fillId="39" borderId="0" xfId="0" applyFont="1" applyFill="1" applyAlignment="1" applyProtection="1">
      <alignment vertical="center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0" fillId="39" borderId="0" xfId="0" applyFill="1" applyAlignment="1" applyProtection="1">
      <alignment horizontal="right" vertical="center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183" fontId="0" fillId="36" borderId="34" xfId="0" applyNumberFormat="1" applyFont="1" applyFill="1" applyBorder="1" applyAlignment="1" applyProtection="1">
      <alignment vertical="center"/>
      <protection/>
    </xf>
    <xf numFmtId="183" fontId="0" fillId="36" borderId="35" xfId="0" applyNumberFormat="1" applyFont="1" applyFill="1" applyBorder="1" applyAlignment="1" applyProtection="1">
      <alignment vertical="center"/>
      <protection/>
    </xf>
    <xf numFmtId="179" fontId="0" fillId="36" borderId="34" xfId="0" applyNumberFormat="1" applyFont="1" applyFill="1" applyBorder="1" applyAlignment="1" applyProtection="1">
      <alignment horizontal="right" vertical="center"/>
      <protection/>
    </xf>
    <xf numFmtId="0" fontId="7" fillId="39" borderId="0" xfId="0" applyFont="1" applyFill="1" applyAlignment="1" applyProtection="1">
      <alignment/>
      <protection/>
    </xf>
    <xf numFmtId="179" fontId="0" fillId="33" borderId="34" xfId="0" applyNumberFormat="1" applyFont="1" applyFill="1" applyBorder="1" applyAlignment="1" applyProtection="1">
      <alignment horizontal="right" vertical="center"/>
      <protection/>
    </xf>
    <xf numFmtId="0" fontId="7" fillId="39" borderId="0" xfId="0" applyFont="1" applyFill="1" applyAlignment="1" applyProtection="1">
      <alignment/>
      <protection/>
    </xf>
    <xf numFmtId="0" fontId="0" fillId="39" borderId="0" xfId="0" applyFont="1" applyFill="1" applyAlignment="1" applyProtection="1">
      <alignment horizontal="center" vertical="center"/>
      <protection/>
    </xf>
    <xf numFmtId="0" fontId="0" fillId="39" borderId="51" xfId="0" applyFill="1" applyBorder="1" applyAlignment="1" applyProtection="1">
      <alignment/>
      <protection/>
    </xf>
    <xf numFmtId="0" fontId="0" fillId="35" borderId="21" xfId="0" applyFont="1" applyFill="1" applyBorder="1" applyAlignment="1" applyProtection="1">
      <alignment horizontal="left" vertical="center" indent="1"/>
      <protection/>
    </xf>
    <xf numFmtId="183" fontId="0" fillId="40" borderId="38" xfId="0" applyNumberFormat="1" applyFont="1" applyFill="1" applyBorder="1" applyAlignment="1" applyProtection="1">
      <alignment vertical="center"/>
      <protection/>
    </xf>
    <xf numFmtId="183" fontId="0" fillId="40" borderId="64" xfId="0" applyNumberFormat="1" applyFont="1" applyFill="1" applyBorder="1" applyAlignment="1" applyProtection="1">
      <alignment vertical="center"/>
      <protection/>
    </xf>
    <xf numFmtId="183" fontId="0" fillId="33" borderId="32" xfId="0" applyNumberFormat="1" applyFont="1" applyFill="1" applyBorder="1" applyAlignment="1" applyProtection="1">
      <alignment vertical="center"/>
      <protection/>
    </xf>
    <xf numFmtId="183" fontId="0" fillId="33" borderId="65" xfId="0" applyNumberFormat="1" applyFont="1" applyFill="1" applyBorder="1" applyAlignment="1" applyProtection="1">
      <alignment vertical="center"/>
      <protection/>
    </xf>
    <xf numFmtId="183" fontId="0" fillId="33" borderId="38" xfId="0" applyNumberFormat="1" applyFont="1" applyFill="1" applyBorder="1" applyAlignment="1" applyProtection="1">
      <alignment vertical="center"/>
      <protection/>
    </xf>
    <xf numFmtId="183" fontId="0" fillId="33" borderId="64" xfId="0" applyNumberFormat="1" applyFont="1" applyFill="1" applyBorder="1" applyAlignment="1" applyProtection="1">
      <alignment vertical="center"/>
      <protection/>
    </xf>
    <xf numFmtId="183" fontId="7" fillId="33" borderId="26" xfId="0" applyNumberFormat="1" applyFont="1" applyFill="1" applyBorder="1" applyAlignment="1" applyProtection="1">
      <alignment vertical="center"/>
      <protection/>
    </xf>
    <xf numFmtId="0" fontId="0" fillId="39" borderId="59" xfId="0" applyFill="1" applyBorder="1" applyAlignment="1" applyProtection="1">
      <alignment/>
      <protection/>
    </xf>
    <xf numFmtId="0" fontId="0" fillId="39" borderId="0" xfId="0" applyFill="1" applyAlignment="1" applyProtection="1">
      <alignment horizontal="center" vertical="center"/>
      <protection/>
    </xf>
    <xf numFmtId="0" fontId="0" fillId="35" borderId="66" xfId="0" applyFill="1" applyBorder="1" applyAlignment="1" applyProtection="1">
      <alignment horizontal="right" vertical="center"/>
      <protection/>
    </xf>
    <xf numFmtId="0" fontId="0" fillId="35" borderId="55" xfId="0" applyFill="1" applyBorder="1" applyAlignment="1" applyProtection="1">
      <alignment vertical="center"/>
      <protection/>
    </xf>
    <xf numFmtId="0" fontId="0" fillId="35" borderId="66" xfId="0" applyFill="1" applyBorder="1" applyAlignment="1" applyProtection="1">
      <alignment vertical="center"/>
      <protection/>
    </xf>
    <xf numFmtId="0" fontId="0" fillId="35" borderId="67" xfId="0" applyFont="1" applyFill="1" applyBorder="1" applyAlignment="1" applyProtection="1">
      <alignment horizontal="left" vertical="center" indent="1"/>
      <protection/>
    </xf>
    <xf numFmtId="0" fontId="0" fillId="35" borderId="68" xfId="0" applyFill="1" applyBorder="1" applyAlignment="1" applyProtection="1">
      <alignment horizontal="left" vertical="center" indent="1"/>
      <protection/>
    </xf>
    <xf numFmtId="183" fontId="0" fillId="40" borderId="53" xfId="0" applyNumberFormat="1" applyFont="1" applyFill="1" applyBorder="1" applyAlignment="1" applyProtection="1">
      <alignment vertical="center"/>
      <protection/>
    </xf>
    <xf numFmtId="183" fontId="0" fillId="40" borderId="33" xfId="0" applyNumberFormat="1" applyFont="1" applyFill="1" applyBorder="1" applyAlignment="1" applyProtection="1">
      <alignment vertical="center"/>
      <protection/>
    </xf>
    <xf numFmtId="183" fontId="0" fillId="39" borderId="0" xfId="0" applyNumberFormat="1" applyFont="1" applyFill="1" applyBorder="1" applyAlignment="1" applyProtection="1">
      <alignment vertical="center"/>
      <protection/>
    </xf>
    <xf numFmtId="183" fontId="0" fillId="40" borderId="69" xfId="0" applyNumberFormat="1" applyFont="1" applyFill="1" applyBorder="1" applyAlignment="1" applyProtection="1">
      <alignment vertical="center"/>
      <protection/>
    </xf>
    <xf numFmtId="183" fontId="0" fillId="40" borderId="23" xfId="0" applyNumberFormat="1" applyFont="1" applyFill="1" applyBorder="1" applyAlignment="1" applyProtection="1">
      <alignment vertical="center"/>
      <protection/>
    </xf>
    <xf numFmtId="183" fontId="7" fillId="40" borderId="21" xfId="0" applyNumberFormat="1" applyFont="1" applyFill="1" applyBorder="1" applyAlignment="1" applyProtection="1">
      <alignment vertical="center"/>
      <protection/>
    </xf>
    <xf numFmtId="0" fontId="5" fillId="35" borderId="66" xfId="0" applyFont="1" applyFill="1" applyBorder="1" applyAlignment="1" applyProtection="1">
      <alignment horizontal="left" vertical="center" indent="1"/>
      <protection/>
    </xf>
    <xf numFmtId="0" fontId="5" fillId="35" borderId="55" xfId="0" applyFont="1" applyFill="1" applyBorder="1" applyAlignment="1" applyProtection="1">
      <alignment horizontal="left" vertical="center" indent="1"/>
      <protection/>
    </xf>
    <xf numFmtId="192" fontId="7" fillId="40" borderId="21" xfId="0" applyNumberFormat="1" applyFont="1" applyFill="1" applyBorder="1" applyAlignment="1" applyProtection="1">
      <alignment vertical="center"/>
      <protection/>
    </xf>
    <xf numFmtId="0" fontId="3" fillId="39" borderId="0" xfId="0" applyFont="1" applyFill="1" applyAlignment="1" applyProtection="1">
      <alignment vertical="center"/>
      <protection/>
    </xf>
    <xf numFmtId="183" fontId="0" fillId="36" borderId="34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Alignment="1">
      <alignment/>
    </xf>
    <xf numFmtId="183" fontId="7" fillId="33" borderId="14" xfId="0" applyNumberFormat="1" applyFont="1" applyFill="1" applyBorder="1" applyAlignment="1" applyProtection="1">
      <alignment vertical="center"/>
      <protection/>
    </xf>
    <xf numFmtId="183" fontId="7" fillId="33" borderId="70" xfId="0" applyNumberFormat="1" applyFont="1" applyFill="1" applyBorder="1" applyAlignment="1" applyProtection="1">
      <alignment vertical="center"/>
      <protection/>
    </xf>
    <xf numFmtId="183" fontId="0" fillId="40" borderId="40" xfId="0" applyNumberFormat="1" applyFont="1" applyFill="1" applyBorder="1" applyAlignment="1" applyProtection="1">
      <alignment vertical="center"/>
      <protection/>
    </xf>
    <xf numFmtId="183" fontId="0" fillId="36" borderId="71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7" fillId="35" borderId="17" xfId="0" applyFont="1" applyFill="1" applyBorder="1" applyAlignment="1" applyProtection="1">
      <alignment horizontal="left" vertical="center" indent="2"/>
      <protection/>
    </xf>
    <xf numFmtId="0" fontId="17" fillId="35" borderId="13" xfId="0" applyFont="1" applyFill="1" applyBorder="1" applyAlignment="1" applyProtection="1">
      <alignment horizontal="left" vertical="center" indent="1"/>
      <protection/>
    </xf>
    <xf numFmtId="0" fontId="17" fillId="35" borderId="19" xfId="0" applyFont="1" applyFill="1" applyBorder="1" applyAlignment="1" applyProtection="1">
      <alignment horizontal="left" vertical="center" indent="1"/>
      <protection/>
    </xf>
    <xf numFmtId="0" fontId="17" fillId="35" borderId="19" xfId="0" applyFont="1" applyFill="1" applyBorder="1" applyAlignment="1" applyProtection="1">
      <alignment horizontal="left" vertical="center" indent="2"/>
      <protection/>
    </xf>
    <xf numFmtId="0" fontId="17" fillId="35" borderId="50" xfId="0" applyFont="1" applyFill="1" applyBorder="1" applyAlignment="1" applyProtection="1">
      <alignment horizontal="left" vertical="center" indent="1"/>
      <protection/>
    </xf>
    <xf numFmtId="0" fontId="17" fillId="35" borderId="62" xfId="0" applyFont="1" applyFill="1" applyBorder="1" applyAlignment="1" applyProtection="1">
      <alignment horizontal="left" vertical="center" indent="1"/>
      <protection/>
    </xf>
    <xf numFmtId="0" fontId="17" fillId="35" borderId="62" xfId="0" applyFont="1" applyFill="1" applyBorder="1" applyAlignment="1" applyProtection="1">
      <alignment horizontal="left" vertical="center" indent="2"/>
      <protection/>
    </xf>
    <xf numFmtId="0" fontId="17" fillId="39" borderId="0" xfId="0" applyFont="1" applyFill="1" applyAlignment="1" applyProtection="1">
      <alignment/>
      <protection/>
    </xf>
    <xf numFmtId="0" fontId="17" fillId="39" borderId="51" xfId="0" applyFont="1" applyFill="1" applyBorder="1" applyAlignment="1" applyProtection="1">
      <alignment/>
      <protection/>
    </xf>
    <xf numFmtId="0" fontId="23" fillId="35" borderId="12" xfId="0" applyFont="1" applyFill="1" applyBorder="1" applyAlignment="1" applyProtection="1">
      <alignment horizontal="left" vertical="center" indent="1"/>
      <protection/>
    </xf>
    <xf numFmtId="0" fontId="17" fillId="35" borderId="59" xfId="0" applyFont="1" applyFill="1" applyBorder="1" applyAlignment="1" applyProtection="1">
      <alignment horizontal="left" indent="1"/>
      <protection/>
    </xf>
    <xf numFmtId="0" fontId="17" fillId="35" borderId="15" xfId="0" applyFont="1" applyFill="1" applyBorder="1" applyAlignment="1" applyProtection="1">
      <alignment horizontal="right" vertical="center"/>
      <protection/>
    </xf>
    <xf numFmtId="0" fontId="17" fillId="35" borderId="14" xfId="0" applyFont="1" applyFill="1" applyBorder="1" applyAlignment="1" applyProtection="1">
      <alignment horizontal="left" vertical="center" indent="1"/>
      <protection/>
    </xf>
    <xf numFmtId="0" fontId="17" fillId="35" borderId="62" xfId="0" applyNumberFormat="1" applyFont="1" applyFill="1" applyBorder="1" applyAlignment="1" applyProtection="1">
      <alignment horizontal="left" vertical="center" indent="2"/>
      <protection/>
    </xf>
    <xf numFmtId="0" fontId="22" fillId="35" borderId="54" xfId="0" applyFont="1" applyFill="1" applyBorder="1" applyAlignment="1" applyProtection="1">
      <alignment horizontal="left" vertical="center" indent="1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horizontal="left" vertical="center" indent="1"/>
      <protection/>
    </xf>
    <xf numFmtId="44" fontId="0" fillId="36" borderId="34" xfId="0" applyNumberFormat="1" applyFont="1" applyFill="1" applyBorder="1" applyAlignment="1" applyProtection="1">
      <alignment horizontal="right" vertical="center"/>
      <protection locked="0"/>
    </xf>
    <xf numFmtId="177" fontId="0" fillId="0" borderId="17" xfId="0" applyNumberFormat="1" applyFont="1" applyBorder="1" applyAlignment="1">
      <alignment horizontal="right"/>
    </xf>
    <xf numFmtId="0" fontId="60" fillId="39" borderId="0" xfId="0" applyFont="1" applyFill="1" applyAlignment="1" applyProtection="1">
      <alignment vertical="center"/>
      <protection/>
    </xf>
    <xf numFmtId="183" fontId="0" fillId="36" borderId="3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2" fillId="0" borderId="17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77" fontId="0" fillId="0" borderId="17" xfId="0" applyNumberForma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left"/>
      <protection/>
    </xf>
    <xf numFmtId="195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193" fontId="0" fillId="0" borderId="0" xfId="0" applyNumberFormat="1" applyFont="1" applyAlignment="1" applyProtection="1">
      <alignment horizontal="right"/>
      <protection/>
    </xf>
    <xf numFmtId="192" fontId="0" fillId="0" borderId="0" xfId="0" applyNumberFormat="1" applyFont="1" applyAlignment="1" applyProtection="1">
      <alignment horizontal="right"/>
      <protection/>
    </xf>
    <xf numFmtId="183" fontId="0" fillId="0" borderId="0" xfId="0" applyNumberFormat="1" applyFont="1" applyAlignment="1" applyProtection="1">
      <alignment/>
      <protection/>
    </xf>
    <xf numFmtId="184" fontId="0" fillId="0" borderId="0" xfId="0" applyNumberFormat="1" applyFont="1" applyAlignment="1" applyProtection="1">
      <alignment/>
      <protection/>
    </xf>
    <xf numFmtId="183" fontId="7" fillId="0" borderId="0" xfId="0" applyNumberFormat="1" applyFont="1" applyAlignment="1" applyProtection="1">
      <alignment/>
      <protection/>
    </xf>
    <xf numFmtId="192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183" fontId="7" fillId="0" borderId="0" xfId="0" applyNumberFormat="1" applyFont="1" applyAlignment="1" applyProtection="1">
      <alignment horizontal="center"/>
      <protection/>
    </xf>
    <xf numFmtId="183" fontId="7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4" fontId="0" fillId="0" borderId="0" xfId="0" applyNumberFormat="1" applyFont="1" applyAlignment="1" applyProtection="1">
      <alignment/>
      <protection/>
    </xf>
    <xf numFmtId="183" fontId="0" fillId="0" borderId="0" xfId="0" applyNumberFormat="1" applyFont="1" applyAlignment="1" applyProtection="1">
      <alignment horizontal="left"/>
      <protection/>
    </xf>
    <xf numFmtId="4" fontId="0" fillId="0" borderId="0" xfId="0" applyNumberFormat="1" applyFont="1" applyAlignment="1" applyProtection="1">
      <alignment horizontal="right"/>
      <protection/>
    </xf>
    <xf numFmtId="183" fontId="0" fillId="0" borderId="43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183" fontId="7" fillId="0" borderId="0" xfId="0" applyNumberFormat="1" applyFont="1" applyBorder="1" applyAlignment="1" applyProtection="1">
      <alignment horizontal="left"/>
      <protection/>
    </xf>
    <xf numFmtId="0" fontId="7" fillId="0" borderId="62" xfId="0" applyFont="1" applyBorder="1" applyAlignment="1" applyProtection="1">
      <alignment/>
      <protection/>
    </xf>
    <xf numFmtId="0" fontId="0" fillId="0" borderId="62" xfId="0" applyFont="1" applyBorder="1" applyAlignment="1" applyProtection="1">
      <alignment/>
      <protection/>
    </xf>
    <xf numFmtId="4" fontId="7" fillId="0" borderId="62" xfId="0" applyNumberFormat="1" applyFont="1" applyBorder="1" applyAlignment="1" applyProtection="1">
      <alignment horizontal="right"/>
      <protection/>
    </xf>
    <xf numFmtId="183" fontId="7" fillId="0" borderId="62" xfId="0" applyNumberFormat="1" applyFont="1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35" borderId="66" xfId="0" applyFont="1" applyFill="1" applyBorder="1" applyAlignment="1" applyProtection="1">
      <alignment horizontal="left" vertical="center" indent="1"/>
      <protection/>
    </xf>
    <xf numFmtId="0" fontId="17" fillId="39" borderId="0" xfId="0" applyFont="1" applyFill="1" applyBorder="1" applyAlignment="1" applyProtection="1">
      <alignment/>
      <protection/>
    </xf>
    <xf numFmtId="0" fontId="17" fillId="35" borderId="0" xfId="0" applyFont="1" applyFill="1" applyBorder="1" applyAlignment="1" applyProtection="1">
      <alignment horizontal="right" vertical="center"/>
      <protection/>
    </xf>
    <xf numFmtId="0" fontId="17" fillId="35" borderId="43" xfId="0" applyFont="1" applyFill="1" applyBorder="1" applyAlignment="1" applyProtection="1">
      <alignment horizontal="left" vertical="center" indent="2"/>
      <protection/>
    </xf>
    <xf numFmtId="9" fontId="7" fillId="35" borderId="0" xfId="0" applyNumberFormat="1" applyFont="1" applyFill="1" applyBorder="1" applyAlignment="1" applyProtection="1">
      <alignment horizontal="left" vertical="center" indent="2"/>
      <protection/>
    </xf>
    <xf numFmtId="0" fontId="7" fillId="35" borderId="0" xfId="0" applyFont="1" applyFill="1" applyBorder="1" applyAlignment="1" applyProtection="1">
      <alignment vertical="center"/>
      <protection/>
    </xf>
    <xf numFmtId="178" fontId="0" fillId="36" borderId="72" xfId="0" applyNumberFormat="1" applyFont="1" applyFill="1" applyBorder="1" applyAlignment="1" applyProtection="1">
      <alignment horizontal="right" vertical="center"/>
      <protection locked="0"/>
    </xf>
    <xf numFmtId="179" fontId="0" fillId="33" borderId="25" xfId="0" applyNumberFormat="1" applyFont="1" applyFill="1" applyBorder="1" applyAlignment="1" applyProtection="1">
      <alignment horizontal="right" vertical="center"/>
      <protection/>
    </xf>
    <xf numFmtId="181" fontId="0" fillId="36" borderId="72" xfId="0" applyNumberFormat="1" applyFont="1" applyFill="1" applyBorder="1" applyAlignment="1" applyProtection="1">
      <alignment horizontal="right" vertical="center"/>
      <protection locked="0"/>
    </xf>
    <xf numFmtId="179" fontId="0" fillId="36" borderId="35" xfId="0" applyNumberFormat="1" applyFont="1" applyFill="1" applyBorder="1" applyAlignment="1" applyProtection="1">
      <alignment horizontal="right" vertical="center"/>
      <protection locked="0"/>
    </xf>
    <xf numFmtId="180" fontId="0" fillId="36" borderId="72" xfId="0" applyNumberFormat="1" applyFont="1" applyFill="1" applyBorder="1" applyAlignment="1" applyProtection="1">
      <alignment horizontal="right" vertical="center"/>
      <protection locked="0"/>
    </xf>
    <xf numFmtId="0" fontId="7" fillId="35" borderId="65" xfId="0" applyFont="1" applyFill="1" applyBorder="1" applyAlignment="1" applyProtection="1">
      <alignment horizontal="left" vertical="center" indent="1"/>
      <protection/>
    </xf>
    <xf numFmtId="14" fontId="0" fillId="35" borderId="73" xfId="0" applyNumberFormat="1" applyFont="1" applyFill="1" applyBorder="1" applyAlignment="1" applyProtection="1">
      <alignment horizontal="right" vertical="center"/>
      <protection/>
    </xf>
    <xf numFmtId="0" fontId="0" fillId="35" borderId="34" xfId="0" applyFont="1" applyFill="1" applyBorder="1" applyAlignment="1" applyProtection="1">
      <alignment horizontal="right" vertical="center"/>
      <protection/>
    </xf>
    <xf numFmtId="14" fontId="0" fillId="35" borderId="34" xfId="0" applyNumberFormat="1" applyFont="1" applyFill="1" applyBorder="1" applyAlignment="1" applyProtection="1">
      <alignment horizontal="right" vertical="center"/>
      <protection/>
    </xf>
    <xf numFmtId="0" fontId="0" fillId="35" borderId="38" xfId="0" applyFont="1" applyFill="1" applyBorder="1" applyAlignment="1" applyProtection="1">
      <alignment horizontal="right" vertical="center"/>
      <protection/>
    </xf>
    <xf numFmtId="14" fontId="0" fillId="35" borderId="73" xfId="0" applyNumberFormat="1" applyFont="1" applyFill="1" applyBorder="1" applyAlignment="1" applyProtection="1">
      <alignment horizontal="center" vertical="center"/>
      <protection/>
    </xf>
    <xf numFmtId="14" fontId="0" fillId="35" borderId="34" xfId="0" applyNumberFormat="1" applyFont="1" applyFill="1" applyBorder="1" applyAlignment="1" applyProtection="1">
      <alignment horizontal="center" vertical="center"/>
      <protection/>
    </xf>
    <xf numFmtId="183" fontId="0" fillId="40" borderId="74" xfId="0" applyNumberFormat="1" applyFont="1" applyFill="1" applyBorder="1" applyAlignment="1" applyProtection="1">
      <alignment vertical="center"/>
      <protection/>
    </xf>
    <xf numFmtId="0" fontId="7" fillId="35" borderId="25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left" vertical="center" indent="1"/>
      <protection/>
    </xf>
    <xf numFmtId="0" fontId="0" fillId="35" borderId="75" xfId="0" applyFont="1" applyFill="1" applyBorder="1" applyAlignment="1" applyProtection="1">
      <alignment horizontal="left" vertical="center" indent="3"/>
      <protection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0" fontId="0" fillId="0" borderId="0" xfId="52" applyFont="1" applyFill="1">
      <alignment/>
      <protection/>
    </xf>
    <xf numFmtId="0" fontId="5" fillId="35" borderId="55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0" fillId="41" borderId="0" xfId="0" applyFill="1" applyAlignment="1">
      <alignment/>
    </xf>
    <xf numFmtId="176" fontId="5" fillId="33" borderId="33" xfId="0" applyNumberFormat="1" applyFont="1" applyFill="1" applyBorder="1" applyAlignment="1">
      <alignment/>
    </xf>
    <xf numFmtId="176" fontId="5" fillId="33" borderId="24" xfId="0" applyNumberFormat="1" applyFont="1" applyFill="1" applyBorder="1" applyAlignment="1">
      <alignment/>
    </xf>
    <xf numFmtId="176" fontId="5" fillId="33" borderId="22" xfId="0" applyNumberFormat="1" applyFont="1" applyFill="1" applyBorder="1" applyAlignment="1">
      <alignment/>
    </xf>
    <xf numFmtId="179" fontId="0" fillId="0" borderId="24" xfId="0" applyNumberFormat="1" applyFont="1" applyFill="1" applyBorder="1" applyAlignment="1" applyProtection="1">
      <alignment horizontal="right" vertical="center"/>
      <protection locked="0"/>
    </xf>
    <xf numFmtId="205" fontId="0" fillId="0" borderId="24" xfId="0" applyNumberFormat="1" applyFont="1" applyFill="1" applyBorder="1" applyAlignment="1" applyProtection="1">
      <alignment vertical="center"/>
      <protection locked="0"/>
    </xf>
    <xf numFmtId="0" fontId="17" fillId="35" borderId="72" xfId="0" applyFont="1" applyFill="1" applyBorder="1" applyAlignment="1" applyProtection="1">
      <alignment horizontal="left" vertical="center" indent="1"/>
      <protection/>
    </xf>
    <xf numFmtId="0" fontId="17" fillId="35" borderId="17" xfId="0" applyFont="1" applyFill="1" applyBorder="1" applyAlignment="1" applyProtection="1">
      <alignment horizontal="left" vertical="center" indent="1"/>
      <protection/>
    </xf>
    <xf numFmtId="0" fontId="17" fillId="35" borderId="47" xfId="0" applyFont="1" applyFill="1" applyBorder="1" applyAlignment="1" applyProtection="1">
      <alignment horizontal="left" vertical="center" indent="1"/>
      <protection/>
    </xf>
    <xf numFmtId="183" fontId="0" fillId="36" borderId="65" xfId="0" applyNumberFormat="1" applyFont="1" applyFill="1" applyBorder="1" applyAlignment="1" applyProtection="1">
      <alignment horizontal="right" vertical="center"/>
      <protection locked="0"/>
    </xf>
    <xf numFmtId="0" fontId="8" fillId="35" borderId="21" xfId="0" applyFont="1" applyFill="1" applyBorder="1" applyAlignment="1" applyProtection="1">
      <alignment horizontal="center" vertical="center"/>
      <protection/>
    </xf>
    <xf numFmtId="0" fontId="8" fillId="35" borderId="21" xfId="0" applyFont="1" applyFill="1" applyBorder="1" applyAlignment="1" applyProtection="1">
      <alignment horizontal="left" vertical="center" indent="1"/>
      <protection/>
    </xf>
    <xf numFmtId="0" fontId="17" fillId="35" borderId="19" xfId="0" applyFont="1" applyFill="1" applyBorder="1" applyAlignment="1" applyProtection="1">
      <alignment horizontal="left" vertical="center" indent="1"/>
      <protection/>
    </xf>
    <xf numFmtId="0" fontId="17" fillId="35" borderId="17" xfId="0" applyFont="1" applyFill="1" applyBorder="1" applyAlignment="1" applyProtection="1">
      <alignment horizontal="left" vertical="center" indent="1"/>
      <protection/>
    </xf>
    <xf numFmtId="49" fontId="8" fillId="35" borderId="76" xfId="0" applyNumberFormat="1" applyFont="1" applyFill="1" applyBorder="1" applyAlignment="1" applyProtection="1">
      <alignment horizontal="center" vertical="center"/>
      <protection/>
    </xf>
    <xf numFmtId="49" fontId="8" fillId="35" borderId="76" xfId="0" applyNumberFormat="1" applyFont="1" applyFill="1" applyBorder="1" applyAlignment="1" applyProtection="1">
      <alignment horizontal="center" vertical="top" wrapText="1"/>
      <protection/>
    </xf>
    <xf numFmtId="0" fontId="8" fillId="35" borderId="52" xfId="0" applyFont="1" applyFill="1" applyBorder="1" applyAlignment="1" applyProtection="1">
      <alignment horizontal="center" vertical="center"/>
      <protection/>
    </xf>
    <xf numFmtId="0" fontId="8" fillId="35" borderId="24" xfId="0" applyFont="1" applyFill="1" applyBorder="1" applyAlignment="1" applyProtection="1">
      <alignment horizontal="center" vertical="center"/>
      <protection/>
    </xf>
    <xf numFmtId="0" fontId="8" fillId="35" borderId="24" xfId="0" applyFont="1" applyFill="1" applyBorder="1" applyAlignment="1" applyProtection="1">
      <alignment horizontal="center" vertical="center" wrapText="1"/>
      <protection/>
    </xf>
    <xf numFmtId="49" fontId="8" fillId="35" borderId="24" xfId="0" applyNumberFormat="1" applyFont="1" applyFill="1" applyBorder="1" applyAlignment="1" applyProtection="1">
      <alignment horizontal="center" vertical="top" wrapText="1"/>
      <protection/>
    </xf>
    <xf numFmtId="49" fontId="8" fillId="35" borderId="24" xfId="0" applyNumberFormat="1" applyFont="1" applyFill="1" applyBorder="1" applyAlignment="1" applyProtection="1">
      <alignment horizontal="center" vertical="center" wrapText="1"/>
      <protection/>
    </xf>
    <xf numFmtId="49" fontId="8" fillId="35" borderId="77" xfId="0" applyNumberFormat="1" applyFont="1" applyFill="1" applyBorder="1" applyAlignment="1" applyProtection="1">
      <alignment horizontal="center" vertical="top" wrapText="1"/>
      <protection/>
    </xf>
    <xf numFmtId="49" fontId="8" fillId="35" borderId="22" xfId="0" applyNumberFormat="1" applyFont="1" applyFill="1" applyBorder="1" applyAlignment="1" applyProtection="1">
      <alignment horizontal="center" vertical="top" wrapText="1"/>
      <protection/>
    </xf>
    <xf numFmtId="179" fontId="0" fillId="41" borderId="0" xfId="0" applyNumberFormat="1" applyFont="1" applyFill="1" applyBorder="1" applyAlignment="1" applyProtection="1">
      <alignment horizontal="right" vertical="center"/>
      <protection/>
    </xf>
    <xf numFmtId="0" fontId="7" fillId="41" borderId="0" xfId="0" applyFont="1" applyFill="1" applyAlignment="1" applyProtection="1">
      <alignment/>
      <protection/>
    </xf>
    <xf numFmtId="0" fontId="0" fillId="41" borderId="0" xfId="0" applyFont="1" applyFill="1" applyAlignment="1" applyProtection="1">
      <alignment vertical="center"/>
      <protection/>
    </xf>
    <xf numFmtId="0" fontId="0" fillId="41" borderId="0" xfId="0" applyFill="1" applyAlignment="1" applyProtection="1">
      <alignment/>
      <protection/>
    </xf>
    <xf numFmtId="0" fontId="0" fillId="41" borderId="0" xfId="0" applyFill="1" applyAlignment="1" applyProtection="1">
      <alignment vertical="center"/>
      <protection/>
    </xf>
    <xf numFmtId="14" fontId="8" fillId="35" borderId="21" xfId="0" applyNumberFormat="1" applyFont="1" applyFill="1" applyBorder="1" applyAlignment="1" applyProtection="1" quotePrefix="1">
      <alignment horizontal="center" vertical="center" wrapText="1"/>
      <protection/>
    </xf>
    <xf numFmtId="0" fontId="8" fillId="35" borderId="21" xfId="0" applyFont="1" applyFill="1" applyBorder="1" applyAlignment="1" applyProtection="1">
      <alignment horizontal="center" vertical="center" wrapText="1"/>
      <protection/>
    </xf>
    <xf numFmtId="0" fontId="19" fillId="0" borderId="0" xfId="52" applyFont="1" applyFill="1" applyAlignment="1">
      <alignment wrapText="1"/>
      <protection/>
    </xf>
    <xf numFmtId="0" fontId="7" fillId="0" borderId="0" xfId="0" applyFont="1" applyFill="1" applyAlignment="1">
      <alignment/>
    </xf>
    <xf numFmtId="0" fontId="9" fillId="0" borderId="0" xfId="52" applyFont="1" applyFill="1" applyAlignment="1">
      <alignment horizontal="center"/>
      <protection/>
    </xf>
    <xf numFmtId="0" fontId="0" fillId="0" borderId="0" xfId="52" applyAlignment="1">
      <alignment/>
      <protection/>
    </xf>
    <xf numFmtId="0" fontId="11" fillId="0" borderId="0" xfId="52" applyFont="1" applyAlignment="1">
      <alignment horizontal="center"/>
      <protection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2" fillId="38" borderId="0" xfId="0" applyFont="1" applyFill="1" applyBorder="1" applyAlignment="1" applyProtection="1">
      <alignment horizontal="center" vertical="center"/>
      <protection/>
    </xf>
    <xf numFmtId="0" fontId="0" fillId="39" borderId="0" xfId="0" applyFill="1" applyAlignment="1">
      <alignment/>
    </xf>
    <xf numFmtId="0" fontId="0" fillId="38" borderId="0" xfId="0" applyFill="1" applyAlignment="1" applyProtection="1">
      <alignment horizontal="center"/>
      <protection/>
    </xf>
    <xf numFmtId="0" fontId="2" fillId="38" borderId="51" xfId="0" applyFont="1" applyFill="1" applyBorder="1" applyAlignment="1" applyProtection="1">
      <alignment horizontal="center" vertical="center"/>
      <protection/>
    </xf>
    <xf numFmtId="0" fontId="3" fillId="35" borderId="54" xfId="0" applyFont="1" applyFill="1" applyBorder="1" applyAlignment="1">
      <alignment horizontal="left" vertical="center"/>
    </xf>
    <xf numFmtId="0" fontId="3" fillId="35" borderId="66" xfId="0" applyFont="1" applyFill="1" applyBorder="1" applyAlignment="1">
      <alignment horizontal="left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78" xfId="0" applyFont="1" applyFill="1" applyBorder="1" applyAlignment="1">
      <alignment horizontal="center" vertical="center"/>
    </xf>
    <xf numFmtId="0" fontId="0" fillId="39" borderId="0" xfId="0" applyFont="1" applyFill="1" applyBorder="1" applyAlignment="1" applyProtection="1">
      <alignment horizontal="left" vertical="center" wrapText="1"/>
      <protection/>
    </xf>
    <xf numFmtId="0" fontId="2" fillId="35" borderId="54" xfId="0" applyFont="1" applyFill="1" applyBorder="1" applyAlignment="1">
      <alignment horizontal="left" vertical="center" indent="1"/>
    </xf>
    <xf numFmtId="0" fontId="2" fillId="35" borderId="66" xfId="0" applyFont="1" applyFill="1" applyBorder="1" applyAlignment="1">
      <alignment horizontal="left" vertical="center" indent="1"/>
    </xf>
    <xf numFmtId="0" fontId="3" fillId="35" borderId="56" xfId="0" applyFont="1" applyFill="1" applyBorder="1" applyAlignment="1">
      <alignment horizontal="left" vertical="center" indent="1"/>
    </xf>
    <xf numFmtId="0" fontId="3" fillId="35" borderId="47" xfId="0" applyFont="1" applyFill="1" applyBorder="1" applyAlignment="1">
      <alignment horizontal="left" vertical="center" indent="1"/>
    </xf>
    <xf numFmtId="0" fontId="3" fillId="35" borderId="50" xfId="0" applyFont="1" applyFill="1" applyBorder="1" applyAlignment="1">
      <alignment horizontal="left" vertical="center" indent="1"/>
    </xf>
    <xf numFmtId="0" fontId="3" fillId="35" borderId="79" xfId="0" applyFont="1" applyFill="1" applyBorder="1" applyAlignment="1">
      <alignment horizontal="left" vertical="center" indent="1"/>
    </xf>
    <xf numFmtId="0" fontId="2" fillId="39" borderId="0" xfId="0" applyFont="1" applyFill="1" applyBorder="1" applyAlignment="1" applyProtection="1">
      <alignment horizontal="center" vertical="center"/>
      <protection/>
    </xf>
    <xf numFmtId="0" fontId="3" fillId="35" borderId="50" xfId="0" applyFont="1" applyFill="1" applyBorder="1" applyAlignment="1">
      <alignment horizontal="left" vertical="center"/>
    </xf>
    <xf numFmtId="0" fontId="3" fillId="35" borderId="51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59" xfId="0" applyFont="1" applyFill="1" applyBorder="1" applyAlignment="1">
      <alignment horizontal="left" vertical="center"/>
    </xf>
    <xf numFmtId="0" fontId="2" fillId="35" borderId="60" xfId="0" applyFont="1" applyFill="1" applyBorder="1" applyAlignment="1">
      <alignment horizontal="left" vertical="center"/>
    </xf>
    <xf numFmtId="0" fontId="2" fillId="35" borderId="50" xfId="0" applyFont="1" applyFill="1" applyBorder="1" applyAlignment="1">
      <alignment horizontal="left" vertical="center"/>
    </xf>
    <xf numFmtId="0" fontId="2" fillId="35" borderId="51" xfId="0" applyFont="1" applyFill="1" applyBorder="1" applyAlignment="1">
      <alignment horizontal="left" vertical="center"/>
    </xf>
    <xf numFmtId="0" fontId="2" fillId="35" borderId="25" xfId="0" applyFont="1" applyFill="1" applyBorder="1" applyAlignment="1">
      <alignment horizontal="left" vertical="center"/>
    </xf>
    <xf numFmtId="0" fontId="3" fillId="39" borderId="0" xfId="0" applyFont="1" applyFill="1" applyAlignment="1">
      <alignment horizontal="center" vertical="center"/>
    </xf>
    <xf numFmtId="0" fontId="2" fillId="35" borderId="80" xfId="0" applyFont="1" applyFill="1" applyBorder="1" applyAlignment="1">
      <alignment horizontal="left" vertical="center" indent="1"/>
    </xf>
    <xf numFmtId="0" fontId="2" fillId="35" borderId="81" xfId="0" applyFont="1" applyFill="1" applyBorder="1" applyAlignment="1">
      <alignment horizontal="left" vertical="center" indent="1"/>
    </xf>
    <xf numFmtId="0" fontId="2" fillId="35" borderId="27" xfId="0" applyFont="1" applyFill="1" applyBorder="1" applyAlignment="1">
      <alignment horizontal="left" vertical="center" indent="1"/>
    </xf>
    <xf numFmtId="0" fontId="2" fillId="35" borderId="28" xfId="0" applyFont="1" applyFill="1" applyBorder="1" applyAlignment="1">
      <alignment horizontal="left" vertical="center" indent="1"/>
    </xf>
    <xf numFmtId="0" fontId="0" fillId="35" borderId="39" xfId="0" applyFont="1" applyFill="1" applyBorder="1" applyAlignment="1" applyProtection="1">
      <alignment horizontal="center" vertical="center" wrapText="1"/>
      <protection/>
    </xf>
    <xf numFmtId="0" fontId="0" fillId="35" borderId="82" xfId="0" applyFont="1" applyFill="1" applyBorder="1" applyAlignment="1" applyProtection="1">
      <alignment horizontal="center" vertical="center" wrapText="1"/>
      <protection/>
    </xf>
    <xf numFmtId="0" fontId="8" fillId="35" borderId="83" xfId="0" applyFont="1" applyFill="1" applyBorder="1" applyAlignment="1" applyProtection="1">
      <alignment horizontal="center" vertical="center"/>
      <protection/>
    </xf>
    <xf numFmtId="0" fontId="8" fillId="35" borderId="76" xfId="0" applyFont="1" applyFill="1" applyBorder="1" applyAlignment="1" applyProtection="1">
      <alignment horizontal="center" vertical="center"/>
      <protection/>
    </xf>
    <xf numFmtId="0" fontId="17" fillId="35" borderId="19" xfId="0" applyFont="1" applyFill="1" applyBorder="1" applyAlignment="1" applyProtection="1">
      <alignment horizontal="left" vertical="center" indent="1"/>
      <protection/>
    </xf>
    <xf numFmtId="0" fontId="17" fillId="35" borderId="19" xfId="0" applyFont="1" applyFill="1" applyBorder="1" applyAlignment="1" applyProtection="1">
      <alignment horizontal="left" vertical="center" indent="1"/>
      <protection/>
    </xf>
    <xf numFmtId="0" fontId="17" fillId="35" borderId="72" xfId="0" applyFont="1" applyFill="1" applyBorder="1" applyAlignment="1" applyProtection="1">
      <alignment horizontal="left" vertical="center" indent="1"/>
      <protection/>
    </xf>
    <xf numFmtId="183" fontId="0" fillId="40" borderId="84" xfId="0" applyNumberFormat="1" applyFont="1" applyFill="1" applyBorder="1" applyAlignment="1" applyProtection="1">
      <alignment horizontal="center" vertical="center"/>
      <protection/>
    </xf>
    <xf numFmtId="183" fontId="0" fillId="40" borderId="35" xfId="0" applyNumberFormat="1" applyFont="1" applyFill="1" applyBorder="1" applyAlignment="1" applyProtection="1">
      <alignment horizontal="center" vertical="center"/>
      <protection/>
    </xf>
    <xf numFmtId="183" fontId="0" fillId="40" borderId="85" xfId="0" applyNumberFormat="1" applyFont="1" applyFill="1" applyBorder="1" applyAlignment="1" applyProtection="1">
      <alignment horizontal="center" vertical="center"/>
      <protection/>
    </xf>
    <xf numFmtId="183" fontId="0" fillId="40" borderId="15" xfId="0" applyNumberFormat="1" applyFont="1" applyFill="1" applyBorder="1" applyAlignment="1" applyProtection="1">
      <alignment horizontal="center" vertical="center"/>
      <protection/>
    </xf>
    <xf numFmtId="186" fontId="0" fillId="35" borderId="84" xfId="0" applyNumberFormat="1" applyFont="1" applyFill="1" applyBorder="1" applyAlignment="1" applyProtection="1">
      <alignment horizontal="left" vertical="center" indent="2"/>
      <protection/>
    </xf>
    <xf numFmtId="186" fontId="0" fillId="35" borderId="72" xfId="0" applyNumberFormat="1" applyFont="1" applyFill="1" applyBorder="1" applyAlignment="1" applyProtection="1">
      <alignment horizontal="left" vertical="center" indent="2"/>
      <protection/>
    </xf>
    <xf numFmtId="186" fontId="0" fillId="35" borderId="85" xfId="0" applyNumberFormat="1" applyFill="1" applyBorder="1" applyAlignment="1" applyProtection="1">
      <alignment horizontal="left" vertical="center" indent="2"/>
      <protection/>
    </xf>
    <xf numFmtId="186" fontId="0" fillId="35" borderId="86" xfId="0" applyNumberFormat="1" applyFill="1" applyBorder="1" applyAlignment="1" applyProtection="1">
      <alignment horizontal="left" vertical="center" indent="2"/>
      <protection/>
    </xf>
    <xf numFmtId="0" fontId="0" fillId="39" borderId="0" xfId="0" applyFont="1" applyFill="1" applyAlignment="1" applyProtection="1">
      <alignment horizontal="center" vertical="center" textRotation="90"/>
      <protection/>
    </xf>
    <xf numFmtId="0" fontId="0" fillId="39" borderId="0" xfId="0" applyFont="1" applyFill="1" applyBorder="1" applyAlignment="1" applyProtection="1">
      <alignment horizontal="center" vertical="center" textRotation="90"/>
      <protection/>
    </xf>
    <xf numFmtId="0" fontId="0" fillId="36" borderId="57" xfId="0" applyNumberFormat="1" applyFont="1" applyFill="1" applyBorder="1" applyAlignment="1" applyProtection="1">
      <alignment horizontal="left" vertical="center" indent="1"/>
      <protection locked="0"/>
    </xf>
    <xf numFmtId="0" fontId="0" fillId="0" borderId="52" xfId="0" applyBorder="1" applyAlignment="1" applyProtection="1">
      <alignment horizontal="left" vertical="center" indent="1"/>
      <protection locked="0"/>
    </xf>
    <xf numFmtId="0" fontId="0" fillId="36" borderId="38" xfId="0" applyNumberFormat="1" applyFont="1" applyFill="1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35" borderId="13" xfId="0" applyFont="1" applyFill="1" applyBorder="1" applyAlignment="1" applyProtection="1">
      <alignment horizontal="left" vertical="center" indent="1"/>
      <protection/>
    </xf>
    <xf numFmtId="0" fontId="0" fillId="35" borderId="72" xfId="0" applyFill="1" applyBorder="1" applyAlignment="1" applyProtection="1">
      <alignment horizontal="left" vertical="center" indent="1"/>
      <protection/>
    </xf>
    <xf numFmtId="0" fontId="0" fillId="36" borderId="57" xfId="0" applyNumberFormat="1" applyFont="1" applyFill="1" applyBorder="1" applyAlignment="1" applyProtection="1">
      <alignment horizontal="left" vertical="center" indent="1"/>
      <protection locked="0"/>
    </xf>
    <xf numFmtId="0" fontId="0" fillId="36" borderId="57" xfId="0" applyFill="1" applyBorder="1" applyAlignment="1" applyProtection="1">
      <alignment horizontal="left" vertical="center" indent="1"/>
      <protection locked="0"/>
    </xf>
    <xf numFmtId="0" fontId="0" fillId="36" borderId="38" xfId="0" applyNumberFormat="1" applyFont="1" applyFill="1" applyBorder="1" applyAlignment="1" applyProtection="1">
      <alignment horizontal="left" vertical="center" indent="1"/>
      <protection locked="0"/>
    </xf>
    <xf numFmtId="0" fontId="0" fillId="36" borderId="38" xfId="0" applyFill="1" applyBorder="1" applyAlignment="1" applyProtection="1">
      <alignment horizontal="left" vertical="center" indent="1"/>
      <protection locked="0"/>
    </xf>
    <xf numFmtId="0" fontId="7" fillId="35" borderId="67" xfId="0" applyFont="1" applyFill="1" applyBorder="1" applyAlignment="1" applyProtection="1">
      <alignment horizontal="left" vertical="center" indent="1"/>
      <protection/>
    </xf>
    <xf numFmtId="0" fontId="7" fillId="35" borderId="68" xfId="0" applyFont="1" applyFill="1" applyBorder="1" applyAlignment="1" applyProtection="1">
      <alignment horizontal="left" vertical="center" indent="1"/>
      <protection/>
    </xf>
    <xf numFmtId="0" fontId="7" fillId="35" borderId="15" xfId="0" applyFont="1" applyFill="1" applyBorder="1" applyAlignment="1" applyProtection="1">
      <alignment horizontal="left" vertical="center" indent="1"/>
      <protection/>
    </xf>
    <xf numFmtId="0" fontId="5" fillId="35" borderId="12" xfId="0" applyFont="1" applyFill="1" applyBorder="1" applyAlignment="1" applyProtection="1">
      <alignment horizontal="left" vertical="center" indent="1"/>
      <protection/>
    </xf>
    <xf numFmtId="0" fontId="5" fillId="35" borderId="59" xfId="0" applyFont="1" applyFill="1" applyBorder="1" applyAlignment="1" applyProtection="1">
      <alignment horizontal="left" vertical="center" indent="1"/>
      <protection/>
    </xf>
    <xf numFmtId="0" fontId="5" fillId="35" borderId="56" xfId="0" applyFont="1" applyFill="1" applyBorder="1" applyAlignment="1" applyProtection="1">
      <alignment horizontal="left" vertical="center" indent="1"/>
      <protection/>
    </xf>
    <xf numFmtId="0" fontId="5" fillId="35" borderId="17" xfId="0" applyFont="1" applyFill="1" applyBorder="1" applyAlignment="1" applyProtection="1">
      <alignment horizontal="left" vertical="center" indent="1"/>
      <protection/>
    </xf>
    <xf numFmtId="0" fontId="23" fillId="35" borderId="54" xfId="0" applyFont="1" applyFill="1" applyBorder="1" applyAlignment="1" applyProtection="1">
      <alignment horizontal="left" vertical="center" indent="1"/>
      <protection/>
    </xf>
    <xf numFmtId="0" fontId="23" fillId="35" borderId="66" xfId="0" applyFont="1" applyFill="1" applyBorder="1" applyAlignment="1" applyProtection="1">
      <alignment horizontal="left" vertical="center" indent="1"/>
      <protection/>
    </xf>
    <xf numFmtId="0" fontId="23" fillId="35" borderId="55" xfId="0" applyFont="1" applyFill="1" applyBorder="1" applyAlignment="1" applyProtection="1">
      <alignment horizontal="left" vertical="center" indent="1"/>
      <protection/>
    </xf>
    <xf numFmtId="0" fontId="22" fillId="35" borderId="12" xfId="0" applyFont="1" applyFill="1" applyBorder="1" applyAlignment="1" applyProtection="1">
      <alignment horizontal="left" vertical="center" wrapText="1" indent="1"/>
      <protection/>
    </xf>
    <xf numFmtId="0" fontId="22" fillId="35" borderId="59" xfId="0" applyFont="1" applyFill="1" applyBorder="1" applyAlignment="1" applyProtection="1">
      <alignment horizontal="left" vertical="center" wrapText="1" indent="1"/>
      <protection/>
    </xf>
    <xf numFmtId="0" fontId="22" fillId="35" borderId="60" xfId="0" applyFont="1" applyFill="1" applyBorder="1" applyAlignment="1" applyProtection="1">
      <alignment horizontal="left" vertical="center" wrapText="1" indent="1"/>
      <protection/>
    </xf>
    <xf numFmtId="0" fontId="22" fillId="35" borderId="50" xfId="0" applyFont="1" applyFill="1" applyBorder="1" applyAlignment="1" applyProtection="1">
      <alignment horizontal="left" vertical="center" wrapText="1" indent="1"/>
      <protection/>
    </xf>
    <xf numFmtId="0" fontId="22" fillId="35" borderId="51" xfId="0" applyFont="1" applyFill="1" applyBorder="1" applyAlignment="1" applyProtection="1">
      <alignment horizontal="left" vertical="center" wrapText="1" indent="1"/>
      <protection/>
    </xf>
    <xf numFmtId="0" fontId="22" fillId="35" borderId="25" xfId="0" applyFont="1" applyFill="1" applyBorder="1" applyAlignment="1" applyProtection="1">
      <alignment horizontal="left" vertical="center" wrapText="1" indent="1"/>
      <protection/>
    </xf>
    <xf numFmtId="0" fontId="0" fillId="35" borderId="85" xfId="0" applyFont="1" applyFill="1" applyBorder="1" applyAlignment="1" applyProtection="1">
      <alignment horizontal="center" vertical="center"/>
      <protection/>
    </xf>
    <xf numFmtId="0" fontId="0" fillId="35" borderId="86" xfId="0" applyFont="1" applyFill="1" applyBorder="1" applyAlignment="1" applyProtection="1">
      <alignment horizontal="center" vertical="center"/>
      <protection/>
    </xf>
    <xf numFmtId="0" fontId="17" fillId="35" borderId="13" xfId="0" applyFont="1" applyFill="1" applyBorder="1" applyAlignment="1" applyProtection="1">
      <alignment horizontal="left" vertical="center" indent="1"/>
      <protection/>
    </xf>
    <xf numFmtId="0" fontId="17" fillId="35" borderId="35" xfId="0" applyFont="1" applyFill="1" applyBorder="1" applyAlignment="1" applyProtection="1">
      <alignment horizontal="left" vertical="center" indent="1"/>
      <protection/>
    </xf>
    <xf numFmtId="0" fontId="17" fillId="35" borderId="61" xfId="0" applyFont="1" applyFill="1" applyBorder="1" applyAlignment="1" applyProtection="1">
      <alignment horizontal="left" vertical="center" indent="1"/>
      <protection/>
    </xf>
    <xf numFmtId="0" fontId="17" fillId="35" borderId="43" xfId="0" applyFont="1" applyFill="1" applyBorder="1" applyAlignment="1" applyProtection="1">
      <alignment horizontal="left" vertical="center" indent="1"/>
      <protection/>
    </xf>
    <xf numFmtId="0" fontId="17" fillId="35" borderId="87" xfId="0" applyFont="1" applyFill="1" applyBorder="1" applyAlignment="1" applyProtection="1">
      <alignment horizontal="left" vertical="center" indent="1"/>
      <protection/>
    </xf>
    <xf numFmtId="0" fontId="22" fillId="35" borderId="54" xfId="0" applyFont="1" applyFill="1" applyBorder="1" applyAlignment="1" applyProtection="1">
      <alignment horizontal="left" vertical="center" wrapText="1" indent="1"/>
      <protection/>
    </xf>
    <xf numFmtId="0" fontId="22" fillId="35" borderId="66" xfId="0" applyFont="1" applyFill="1" applyBorder="1" applyAlignment="1" applyProtection="1">
      <alignment horizontal="left" vertical="center" wrapText="1" indent="1"/>
      <protection/>
    </xf>
    <xf numFmtId="0" fontId="22" fillId="35" borderId="55" xfId="0" applyFont="1" applyFill="1" applyBorder="1" applyAlignment="1" applyProtection="1">
      <alignment horizontal="left" vertical="center" wrapText="1" indent="1"/>
      <protection/>
    </xf>
    <xf numFmtId="0" fontId="22" fillId="35" borderId="54" xfId="0" applyFont="1" applyFill="1" applyBorder="1" applyAlignment="1" applyProtection="1">
      <alignment horizontal="left" vertical="center" indent="1"/>
      <protection/>
    </xf>
    <xf numFmtId="0" fontId="22" fillId="35" borderId="66" xfId="0" applyFont="1" applyFill="1" applyBorder="1" applyAlignment="1" applyProtection="1">
      <alignment horizontal="left" vertical="center" indent="1"/>
      <protection/>
    </xf>
    <xf numFmtId="0" fontId="22" fillId="35" borderId="55" xfId="0" applyFont="1" applyFill="1" applyBorder="1" applyAlignment="1" applyProtection="1">
      <alignment horizontal="left" vertical="center" indent="1"/>
      <protection/>
    </xf>
    <xf numFmtId="0" fontId="17" fillId="35" borderId="75" xfId="0" applyFont="1" applyFill="1" applyBorder="1" applyAlignment="1" applyProtection="1">
      <alignment horizontal="left" vertical="center" indent="1"/>
      <protection/>
    </xf>
    <xf numFmtId="0" fontId="17" fillId="35" borderId="0" xfId="0" applyFont="1" applyFill="1" applyBorder="1" applyAlignment="1" applyProtection="1">
      <alignment horizontal="left" vertical="center" indent="1"/>
      <protection/>
    </xf>
    <xf numFmtId="0" fontId="17" fillId="35" borderId="88" xfId="0" applyFont="1" applyFill="1" applyBorder="1" applyAlignment="1" applyProtection="1">
      <alignment horizontal="left" vertical="center" indent="1"/>
      <protection/>
    </xf>
    <xf numFmtId="0" fontId="7" fillId="35" borderId="54" xfId="0" applyFont="1" applyFill="1" applyBorder="1" applyAlignment="1" applyProtection="1">
      <alignment horizontal="left" vertical="center" indent="1"/>
      <protection/>
    </xf>
    <xf numFmtId="0" fontId="7" fillId="35" borderId="66" xfId="0" applyFont="1" applyFill="1" applyBorder="1" applyAlignment="1" applyProtection="1">
      <alignment horizontal="left" vertical="center" indent="1"/>
      <protection/>
    </xf>
    <xf numFmtId="183" fontId="7" fillId="33" borderId="71" xfId="0" applyNumberFormat="1" applyFont="1" applyFill="1" applyBorder="1" applyAlignment="1" applyProtection="1">
      <alignment horizontal="center" vertical="center"/>
      <protection/>
    </xf>
    <xf numFmtId="183" fontId="7" fillId="33" borderId="55" xfId="0" applyNumberFormat="1" applyFont="1" applyFill="1" applyBorder="1" applyAlignment="1" applyProtection="1">
      <alignment horizontal="center" vertical="center"/>
      <protection/>
    </xf>
    <xf numFmtId="0" fontId="5" fillId="35" borderId="54" xfId="0" applyFont="1" applyFill="1" applyBorder="1" applyAlignment="1" applyProtection="1">
      <alignment horizontal="left" vertical="center" indent="1"/>
      <protection/>
    </xf>
    <xf numFmtId="0" fontId="5" fillId="35" borderId="66" xfId="0" applyFont="1" applyFill="1" applyBorder="1" applyAlignment="1" applyProtection="1">
      <alignment horizontal="left" vertical="center" indent="1"/>
      <protection/>
    </xf>
    <xf numFmtId="0" fontId="5" fillId="35" borderId="55" xfId="0" applyFont="1" applyFill="1" applyBorder="1" applyAlignment="1" applyProtection="1">
      <alignment horizontal="left" vertical="center" indent="1"/>
      <protection/>
    </xf>
    <xf numFmtId="0" fontId="5" fillId="35" borderId="50" xfId="0" applyFont="1" applyFill="1" applyBorder="1" applyAlignment="1" applyProtection="1">
      <alignment horizontal="left" vertical="center" indent="1"/>
      <protection/>
    </xf>
    <xf numFmtId="0" fontId="5" fillId="35" borderId="51" xfId="0" applyFont="1" applyFill="1" applyBorder="1" applyAlignment="1" applyProtection="1">
      <alignment horizontal="left" vertical="center" indent="1"/>
      <protection/>
    </xf>
    <xf numFmtId="0" fontId="0" fillId="35" borderId="13" xfId="0" applyFont="1" applyFill="1" applyBorder="1" applyAlignment="1" applyProtection="1">
      <alignment horizontal="left" vertical="center" wrapText="1" indent="1"/>
      <protection/>
    </xf>
    <xf numFmtId="0" fontId="0" fillId="35" borderId="19" xfId="0" applyFont="1" applyFill="1" applyBorder="1" applyAlignment="1" applyProtection="1">
      <alignment horizontal="left" vertical="center" wrapText="1" indent="1"/>
      <protection/>
    </xf>
    <xf numFmtId="0" fontId="0" fillId="35" borderId="72" xfId="0" applyFont="1" applyFill="1" applyBorder="1" applyAlignment="1" applyProtection="1">
      <alignment horizontal="left" vertical="center" wrapText="1" indent="1"/>
      <protection/>
    </xf>
    <xf numFmtId="0" fontId="17" fillId="35" borderId="68" xfId="0" applyFont="1" applyFill="1" applyBorder="1" applyAlignment="1" applyProtection="1">
      <alignment horizontal="left" vertical="center" indent="1"/>
      <protection/>
    </xf>
    <xf numFmtId="0" fontId="17" fillId="35" borderId="68" xfId="0" applyFont="1" applyFill="1" applyBorder="1" applyAlignment="1" applyProtection="1">
      <alignment horizontal="left" vertical="center" indent="1"/>
      <protection/>
    </xf>
    <xf numFmtId="0" fontId="17" fillId="35" borderId="86" xfId="0" applyFont="1" applyFill="1" applyBorder="1" applyAlignment="1" applyProtection="1">
      <alignment horizontal="left" vertical="center" indent="1"/>
      <protection/>
    </xf>
    <xf numFmtId="186" fontId="0" fillId="35" borderId="39" xfId="0" applyNumberFormat="1" applyFill="1" applyBorder="1" applyAlignment="1" applyProtection="1">
      <alignment horizontal="left" vertical="center" indent="2"/>
      <protection/>
    </xf>
    <xf numFmtId="186" fontId="0" fillId="35" borderId="82" xfId="0" applyNumberFormat="1" applyFill="1" applyBorder="1" applyAlignment="1" applyProtection="1">
      <alignment horizontal="left" vertical="center" indent="2"/>
      <protection/>
    </xf>
    <xf numFmtId="0" fontId="17" fillId="35" borderId="67" xfId="0" applyFont="1" applyFill="1" applyBorder="1" applyAlignment="1" applyProtection="1">
      <alignment horizontal="left" vertical="center" indent="1"/>
      <protection/>
    </xf>
    <xf numFmtId="0" fontId="17" fillId="35" borderId="15" xfId="0" applyFont="1" applyFill="1" applyBorder="1" applyAlignment="1" applyProtection="1">
      <alignment horizontal="left" vertical="center" indent="1"/>
      <protection/>
    </xf>
    <xf numFmtId="0" fontId="20" fillId="39" borderId="0" xfId="0" applyFont="1" applyFill="1" applyBorder="1" applyAlignment="1" applyProtection="1">
      <alignment horizontal="center" vertical="center" textRotation="90"/>
      <protection/>
    </xf>
    <xf numFmtId="0" fontId="12" fillId="39" borderId="0" xfId="0" applyFont="1" applyFill="1" applyAlignment="1" applyProtection="1">
      <alignment horizontal="center" textRotation="90"/>
      <protection/>
    </xf>
    <xf numFmtId="0" fontId="12" fillId="39" borderId="88" xfId="0" applyFont="1" applyFill="1" applyBorder="1" applyAlignment="1" applyProtection="1">
      <alignment horizontal="center" textRotation="90"/>
      <protection/>
    </xf>
    <xf numFmtId="0" fontId="0" fillId="35" borderId="19" xfId="0" applyFill="1" applyBorder="1" applyAlignment="1" applyProtection="1">
      <alignment horizontal="left" vertical="center" indent="1"/>
      <protection/>
    </xf>
    <xf numFmtId="0" fontId="0" fillId="35" borderId="13" xfId="0" applyFont="1" applyFill="1" applyBorder="1" applyAlignment="1" applyProtection="1">
      <alignment horizontal="left" vertical="center" indent="1"/>
      <protection/>
    </xf>
    <xf numFmtId="0" fontId="0" fillId="35" borderId="13" xfId="0" applyFill="1" applyBorder="1" applyAlignment="1" applyProtection="1">
      <alignment horizontal="left" vertical="center" indent="1"/>
      <protection/>
    </xf>
    <xf numFmtId="0" fontId="7" fillId="35" borderId="55" xfId="0" applyFont="1" applyFill="1" applyBorder="1" applyAlignment="1" applyProtection="1">
      <alignment horizontal="left" vertical="center" indent="1"/>
      <protection/>
    </xf>
    <xf numFmtId="186" fontId="0" fillId="35" borderId="84" xfId="0" applyNumberFormat="1" applyFill="1" applyBorder="1" applyAlignment="1" applyProtection="1">
      <alignment horizontal="left" vertical="center" indent="2"/>
      <protection/>
    </xf>
    <xf numFmtId="186" fontId="0" fillId="35" borderId="72" xfId="0" applyNumberFormat="1" applyFill="1" applyBorder="1" applyAlignment="1" applyProtection="1">
      <alignment horizontal="left" vertical="center" indent="2"/>
      <protection/>
    </xf>
    <xf numFmtId="0" fontId="0" fillId="35" borderId="56" xfId="0" applyFont="1" applyFill="1" applyBorder="1" applyAlignment="1" applyProtection="1">
      <alignment horizontal="left" vertical="center" indent="1"/>
      <protection/>
    </xf>
    <xf numFmtId="0" fontId="0" fillId="35" borderId="17" xfId="0" applyFont="1" applyFill="1" applyBorder="1" applyAlignment="1" applyProtection="1">
      <alignment horizontal="left" vertical="center" indent="1"/>
      <protection/>
    </xf>
    <xf numFmtId="0" fontId="0" fillId="35" borderId="47" xfId="0" applyFont="1" applyFill="1" applyBorder="1" applyAlignment="1" applyProtection="1">
      <alignment horizontal="left" vertical="center" indent="1"/>
      <protection/>
    </xf>
    <xf numFmtId="0" fontId="0" fillId="35" borderId="54" xfId="0" applyFont="1" applyFill="1" applyBorder="1" applyAlignment="1" applyProtection="1">
      <alignment horizontal="left" vertical="center" indent="1"/>
      <protection/>
    </xf>
    <xf numFmtId="0" fontId="0" fillId="35" borderId="66" xfId="0" applyFill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6</xdr:row>
      <xdr:rowOff>266700</xdr:rowOff>
    </xdr:from>
    <xdr:to>
      <xdr:col>7</xdr:col>
      <xdr:colOff>695325</xdr:colOff>
      <xdr:row>17</xdr:row>
      <xdr:rowOff>123825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381125" y="1743075"/>
          <a:ext cx="4848225" cy="1943100"/>
        </a:xfrm>
        <a:prstGeom prst="rect">
          <a:avLst/>
        </a:prstGeom>
        <a:solidFill>
          <a:srgbClr val="3366CC"/>
        </a:solidFill>
        <a:ln w="9525" cmpd="sng">
          <a:solidFill>
            <a:srgbClr val="8EB4E3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x@xx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K39"/>
  <sheetViews>
    <sheetView showGridLines="0" showRowColHeaders="0" showZeros="0" tabSelected="1" showOutlineSymbols="0" zoomScalePageLayoutView="0" workbookViewId="0" topLeftCell="A1">
      <selection activeCell="G20" sqref="G20"/>
    </sheetView>
  </sheetViews>
  <sheetFormatPr defaultColWidth="11.421875" defaultRowHeight="12.75"/>
  <cols>
    <col min="1" max="1" width="11.00390625" style="76" customWidth="1"/>
    <col min="2" max="2" width="14.8515625" style="76" customWidth="1"/>
    <col min="3" max="7" width="11.421875" style="76" customWidth="1"/>
    <col min="8" max="8" width="17.00390625" style="76" customWidth="1"/>
    <col min="9" max="16384" width="11.421875" style="76" customWidth="1"/>
  </cols>
  <sheetData>
    <row r="1" spans="1:8" ht="12.75">
      <c r="A1" s="110"/>
      <c r="B1" s="331" t="s">
        <v>124</v>
      </c>
      <c r="C1" s="332"/>
      <c r="D1" s="114"/>
      <c r="E1" s="75"/>
      <c r="F1" s="75"/>
      <c r="G1" s="75"/>
      <c r="H1" s="75"/>
    </row>
    <row r="2" spans="1:8" ht="21" customHeight="1">
      <c r="A2" s="18"/>
      <c r="B2" s="332"/>
      <c r="C2" s="332"/>
      <c r="D2" s="114"/>
      <c r="E2" s="75"/>
      <c r="G2" s="75"/>
      <c r="H2" s="75"/>
    </row>
    <row r="3" spans="1:8" ht="21" customHeight="1">
      <c r="A3"/>
      <c r="B3" s="113"/>
      <c r="C3" s="115"/>
      <c r="D3" s="114"/>
      <c r="E3" s="75"/>
      <c r="G3" s="75"/>
      <c r="H3" s="75"/>
    </row>
    <row r="4" spans="1:8" ht="21" customHeight="1">
      <c r="A4" s="111"/>
      <c r="B4" s="333" t="s">
        <v>54</v>
      </c>
      <c r="C4" s="334"/>
      <c r="D4" s="334"/>
      <c r="E4" s="334"/>
      <c r="F4" s="334"/>
      <c r="G4" s="334"/>
      <c r="H4" s="334"/>
    </row>
    <row r="5" spans="1:8" ht="30" customHeight="1">
      <c r="A5" s="112"/>
      <c r="B5" s="333" t="s">
        <v>71</v>
      </c>
      <c r="C5" s="334"/>
      <c r="D5" s="334"/>
      <c r="E5" s="334"/>
      <c r="F5" s="334"/>
      <c r="G5" s="334"/>
      <c r="H5" s="334"/>
    </row>
    <row r="6" spans="2:8" ht="10.5" customHeight="1">
      <c r="B6" s="102"/>
      <c r="C6" s="75"/>
      <c r="D6" s="75"/>
      <c r="E6" s="75"/>
      <c r="F6" s="75"/>
      <c r="G6" s="75"/>
      <c r="H6" s="75"/>
    </row>
    <row r="7" spans="3:8" ht="44.25" customHeight="1">
      <c r="C7" s="75"/>
      <c r="D7" s="75"/>
      <c r="E7" s="75"/>
      <c r="F7" s="75"/>
      <c r="G7" s="75"/>
      <c r="H7" s="75"/>
    </row>
    <row r="8" spans="2:8" ht="12">
      <c r="B8" s="75"/>
      <c r="C8" s="75"/>
      <c r="D8" s="75"/>
      <c r="E8" s="75"/>
      <c r="F8" s="75"/>
      <c r="G8" s="75"/>
      <c r="H8" s="75"/>
    </row>
    <row r="9" spans="2:11" ht="12">
      <c r="B9" s="75"/>
      <c r="C9" s="75"/>
      <c r="D9" s="75"/>
      <c r="E9" s="75"/>
      <c r="F9" s="75"/>
      <c r="G9" s="75"/>
      <c r="H9" s="75"/>
      <c r="I9" s="103"/>
      <c r="J9" s="103"/>
      <c r="K9" s="103"/>
    </row>
    <row r="10" spans="2:8" ht="12">
      <c r="B10" s="75"/>
      <c r="C10" s="75"/>
      <c r="D10" s="75"/>
      <c r="E10" s="75"/>
      <c r="F10" s="75"/>
      <c r="G10" s="75"/>
      <c r="H10" s="75"/>
    </row>
    <row r="11" spans="2:8" ht="12">
      <c r="B11" s="75"/>
      <c r="C11" s="75"/>
      <c r="D11" s="75"/>
      <c r="E11" s="75"/>
      <c r="F11" s="75"/>
      <c r="G11" s="75"/>
      <c r="H11" s="75"/>
    </row>
    <row r="12" spans="2:8" ht="12">
      <c r="B12" s="75"/>
      <c r="C12" s="75"/>
      <c r="D12" s="75"/>
      <c r="E12" s="75"/>
      <c r="F12" s="75"/>
      <c r="G12" s="75"/>
      <c r="H12" s="75"/>
    </row>
    <row r="13" spans="2:8" ht="12">
      <c r="B13" s="75"/>
      <c r="C13" s="75"/>
      <c r="D13" s="75"/>
      <c r="E13" s="75"/>
      <c r="F13" s="75"/>
      <c r="G13" s="75"/>
      <c r="H13" s="75"/>
    </row>
    <row r="14" spans="2:8" ht="12">
      <c r="B14" s="75"/>
      <c r="C14" s="75"/>
      <c r="D14" s="75"/>
      <c r="E14" s="75"/>
      <c r="F14" s="75"/>
      <c r="G14" s="75"/>
      <c r="H14" s="75"/>
    </row>
    <row r="15" spans="2:8" ht="12">
      <c r="B15" s="75"/>
      <c r="C15" s="75"/>
      <c r="D15" s="75"/>
      <c r="E15" s="75"/>
      <c r="F15" s="75"/>
      <c r="G15" s="75"/>
      <c r="H15" s="75"/>
    </row>
    <row r="16" spans="2:8" ht="12">
      <c r="B16" s="75"/>
      <c r="C16" s="75"/>
      <c r="D16" s="75"/>
      <c r="E16" s="75"/>
      <c r="F16" s="75"/>
      <c r="G16" s="75"/>
      <c r="H16" s="75"/>
    </row>
    <row r="17" spans="2:8" ht="12">
      <c r="B17" s="75"/>
      <c r="C17" s="75"/>
      <c r="D17" s="75"/>
      <c r="E17" s="75"/>
      <c r="F17" s="75"/>
      <c r="G17" s="75"/>
      <c r="H17" s="75"/>
    </row>
    <row r="18" spans="2:8" ht="12">
      <c r="B18" s="75"/>
      <c r="C18" s="75"/>
      <c r="D18" s="75"/>
      <c r="E18" s="75"/>
      <c r="F18" s="75"/>
      <c r="G18" s="75"/>
      <c r="H18" s="75"/>
    </row>
    <row r="19" spans="2:9" ht="12">
      <c r="B19" s="75"/>
      <c r="C19" s="75"/>
      <c r="D19" s="75"/>
      <c r="E19" s="75"/>
      <c r="F19" s="75"/>
      <c r="G19" s="75"/>
      <c r="H19" s="75"/>
      <c r="I19" s="103"/>
    </row>
    <row r="20" spans="3:8" ht="12">
      <c r="C20" s="75"/>
      <c r="D20" s="75"/>
      <c r="E20" s="75"/>
      <c r="F20" s="75"/>
      <c r="G20" s="75"/>
      <c r="H20" s="75"/>
    </row>
    <row r="21" spans="3:8" ht="12.75">
      <c r="C21" s="335"/>
      <c r="D21" s="335"/>
      <c r="E21" s="335"/>
      <c r="F21" s="335"/>
      <c r="G21" s="335"/>
      <c r="H21" s="335"/>
    </row>
    <row r="22" spans="2:3" ht="12">
      <c r="B22" s="298" t="s">
        <v>166</v>
      </c>
      <c r="C22" s="120"/>
    </row>
    <row r="23" spans="2:8" ht="36.75" customHeight="1">
      <c r="B23" s="336"/>
      <c r="C23" s="337"/>
      <c r="D23" s="337"/>
      <c r="E23" s="337"/>
      <c r="F23" s="337"/>
      <c r="G23" s="337"/>
      <c r="H23" s="337"/>
    </row>
    <row r="25" ht="12">
      <c r="B25" s="103"/>
    </row>
    <row r="29" ht="12">
      <c r="B29" s="77" t="s">
        <v>165</v>
      </c>
    </row>
    <row r="36" ht="12.75">
      <c r="D36" s="110"/>
    </row>
    <row r="37" ht="12">
      <c r="D37"/>
    </row>
    <row r="38" ht="12">
      <c r="D38" s="111"/>
    </row>
    <row r="39" ht="12">
      <c r="D39" s="112"/>
    </row>
  </sheetData>
  <sheetProtection password="CCBC" sheet="1" selectLockedCells="1" selectUnlockedCells="1"/>
  <mergeCells count="5">
    <mergeCell ref="B1:C2"/>
    <mergeCell ref="B5:H5"/>
    <mergeCell ref="C21:H21"/>
    <mergeCell ref="B23:H23"/>
    <mergeCell ref="B4:H4"/>
  </mergeCells>
  <printOptions/>
  <pageMargins left="0.25" right="0.2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D22"/>
  <sheetViews>
    <sheetView showGridLines="0" showRowColHeaders="0" showZeros="0" showOutlineSymbols="0" zoomScalePageLayoutView="0" workbookViewId="0" topLeftCell="A7">
      <selection activeCell="C7" sqref="C7"/>
    </sheetView>
  </sheetViews>
  <sheetFormatPr defaultColWidth="11.421875" defaultRowHeight="12.75"/>
  <cols>
    <col min="2" max="2" width="31.8515625" style="0" bestFit="1" customWidth="1"/>
    <col min="3" max="3" width="39.7109375" style="0" customWidth="1"/>
    <col min="4" max="4" width="16.8515625" style="0" customWidth="1"/>
  </cols>
  <sheetData>
    <row r="1" spans="1:4" ht="18">
      <c r="A1" s="338"/>
      <c r="B1" s="339"/>
      <c r="C1" s="339"/>
      <c r="D1" s="339"/>
    </row>
    <row r="2" spans="1:4" ht="20.25" customHeight="1">
      <c r="A2" s="338"/>
      <c r="B2" s="339"/>
      <c r="C2" s="339"/>
      <c r="D2" s="339"/>
    </row>
    <row r="3" spans="1:4" ht="12">
      <c r="A3" s="338" t="str">
        <f>"Adresse "&amp;Start!B5</f>
        <v>Adresse Tagesschule</v>
      </c>
      <c r="B3" s="338"/>
      <c r="C3" s="338"/>
      <c r="D3" s="338"/>
    </row>
    <row r="4" spans="1:4" ht="12">
      <c r="A4" s="338"/>
      <c r="B4" s="338"/>
      <c r="C4" s="338"/>
      <c r="D4" s="338"/>
    </row>
    <row r="5" spans="1:4" ht="18" thickBot="1">
      <c r="A5" s="66"/>
      <c r="B5" s="341"/>
      <c r="C5" s="341"/>
      <c r="D5" s="66"/>
    </row>
    <row r="6" spans="1:4" ht="15">
      <c r="A6" s="67"/>
      <c r="B6" s="3" t="s">
        <v>6</v>
      </c>
      <c r="C6" s="6" t="s">
        <v>5</v>
      </c>
      <c r="D6" s="68"/>
    </row>
    <row r="7" spans="1:4" ht="15">
      <c r="A7" s="67"/>
      <c r="B7" s="4" t="s">
        <v>17</v>
      </c>
      <c r="C7" s="20" t="s">
        <v>133</v>
      </c>
      <c r="D7" s="68"/>
    </row>
    <row r="8" spans="1:4" ht="15">
      <c r="A8" s="67"/>
      <c r="B8" s="4" t="s">
        <v>18</v>
      </c>
      <c r="C8" s="20" t="s">
        <v>24</v>
      </c>
      <c r="D8" s="68"/>
    </row>
    <row r="9" spans="1:4" ht="15.75" thickBot="1">
      <c r="A9" s="67"/>
      <c r="B9" s="5" t="s">
        <v>19</v>
      </c>
      <c r="C9" s="32" t="s">
        <v>25</v>
      </c>
      <c r="D9" s="68"/>
    </row>
    <row r="10" spans="1:4" ht="15.75" thickBot="1">
      <c r="A10" s="67"/>
      <c r="B10" s="5" t="s">
        <v>27</v>
      </c>
      <c r="C10" s="32" t="s">
        <v>34</v>
      </c>
      <c r="D10" s="68"/>
    </row>
    <row r="11" spans="1:4" ht="12.75" thickBot="1">
      <c r="A11" s="67"/>
      <c r="B11" s="340"/>
      <c r="C11" s="340"/>
      <c r="D11" s="340"/>
    </row>
    <row r="12" spans="1:4" ht="15.75" thickBot="1">
      <c r="A12" s="67"/>
      <c r="B12" s="3" t="s">
        <v>7</v>
      </c>
      <c r="C12" s="6" t="s">
        <v>8</v>
      </c>
      <c r="D12" s="68"/>
    </row>
    <row r="13" spans="1:4" ht="16.5" thickBot="1" thickTop="1">
      <c r="A13" s="67"/>
      <c r="B13" s="69"/>
      <c r="C13" s="21" t="s">
        <v>26</v>
      </c>
      <c r="D13" s="68"/>
    </row>
    <row r="14" spans="1:4" ht="15">
      <c r="A14" s="67"/>
      <c r="B14" s="70"/>
      <c r="C14" s="70"/>
      <c r="D14" s="68"/>
    </row>
    <row r="15" spans="1:4" ht="12.75" thickBot="1">
      <c r="A15" s="67"/>
      <c r="B15" s="71"/>
      <c r="C15" s="71"/>
      <c r="D15" s="68"/>
    </row>
    <row r="16" spans="1:4" ht="15">
      <c r="A16" s="67"/>
      <c r="B16" s="3" t="s">
        <v>29</v>
      </c>
      <c r="C16" s="6"/>
      <c r="D16" s="68"/>
    </row>
    <row r="17" spans="1:4" ht="15">
      <c r="A17" s="67"/>
      <c r="B17" s="4" t="s">
        <v>8</v>
      </c>
      <c r="C17" s="20" t="s">
        <v>35</v>
      </c>
      <c r="D17" s="68"/>
    </row>
    <row r="18" spans="1:4" ht="15">
      <c r="A18" s="67"/>
      <c r="B18" s="4" t="s">
        <v>18</v>
      </c>
      <c r="C18" s="20" t="s">
        <v>24</v>
      </c>
      <c r="D18" s="68"/>
    </row>
    <row r="19" spans="1:4" ht="15.75" thickBot="1">
      <c r="A19" s="67"/>
      <c r="B19" s="5" t="s">
        <v>19</v>
      </c>
      <c r="C19" s="32" t="s">
        <v>25</v>
      </c>
      <c r="D19" s="68"/>
    </row>
    <row r="20" spans="1:4" ht="15.75" thickBot="1">
      <c r="A20" s="67"/>
      <c r="B20" s="42" t="s">
        <v>30</v>
      </c>
      <c r="C20" s="32" t="s">
        <v>34</v>
      </c>
      <c r="D20" s="68"/>
    </row>
    <row r="21" spans="1:4" ht="15.75" thickBot="1">
      <c r="A21" s="67"/>
      <c r="B21" s="42" t="s">
        <v>55</v>
      </c>
      <c r="C21" s="91" t="s">
        <v>56</v>
      </c>
      <c r="D21" s="68"/>
    </row>
    <row r="22" spans="1:4" ht="90.75" customHeight="1">
      <c r="A22" s="67"/>
      <c r="B22" s="105"/>
      <c r="C22" s="105"/>
      <c r="D22" s="68"/>
    </row>
  </sheetData>
  <sheetProtection password="CCBC" sheet="1" selectLockedCells="1"/>
  <mergeCells count="5">
    <mergeCell ref="A1:D1"/>
    <mergeCell ref="A2:D2"/>
    <mergeCell ref="A3:D4"/>
    <mergeCell ref="B11:D11"/>
    <mergeCell ref="B5:C5"/>
  </mergeCells>
  <hyperlinks>
    <hyperlink ref="C21" r:id="rId1" display="xx@xx"/>
  </hyperlinks>
  <printOptions/>
  <pageMargins left="0.5" right="0.23" top="1" bottom="1" header="0.4921259845" footer="0.4921259845"/>
  <pageSetup horizontalDpi="300" verticalDpi="3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E31"/>
  <sheetViews>
    <sheetView showGridLines="0" showRowColHeaders="0" showZeros="0" showOutlineSymbols="0" zoomScalePageLayoutView="0" workbookViewId="0" topLeftCell="A13">
      <selection activeCell="D9" sqref="D9"/>
    </sheetView>
  </sheetViews>
  <sheetFormatPr defaultColWidth="11.421875" defaultRowHeight="12.75"/>
  <cols>
    <col min="1" max="1" width="14.7109375" style="0" customWidth="1"/>
    <col min="2" max="2" width="38.00390625" style="0" bestFit="1" customWidth="1"/>
    <col min="3" max="3" width="15.7109375" style="0" customWidth="1"/>
    <col min="4" max="4" width="15.28125" style="0" customWidth="1"/>
    <col min="5" max="5" width="17.57421875" style="0" customWidth="1"/>
  </cols>
  <sheetData>
    <row r="1" spans="1:5" ht="29.25" customHeight="1">
      <c r="A1" s="353" t="str">
        <f>"Eckwerte "&amp;Start!B5</f>
        <v>Eckwerte Tagesschule</v>
      </c>
      <c r="B1" s="353"/>
      <c r="C1" s="353"/>
      <c r="D1" s="353"/>
      <c r="E1" s="353"/>
    </row>
    <row r="2" spans="1:5" ht="12">
      <c r="A2" s="353"/>
      <c r="B2" s="353"/>
      <c r="C2" s="353"/>
      <c r="D2" s="353"/>
      <c r="E2" s="353"/>
    </row>
    <row r="3" spans="1:5" ht="19.5" customHeight="1">
      <c r="A3" s="72"/>
      <c r="B3" s="346"/>
      <c r="C3" s="346"/>
      <c r="D3" s="346"/>
      <c r="E3" s="72"/>
    </row>
    <row r="4" spans="1:5" ht="12.75" thickBot="1">
      <c r="A4" s="73"/>
      <c r="B4" s="71"/>
      <c r="C4" s="71"/>
      <c r="D4" s="71"/>
      <c r="E4" s="71"/>
    </row>
    <row r="5" spans="1:5" ht="12.75" thickTop="1">
      <c r="A5" s="73"/>
      <c r="B5" s="363" t="s">
        <v>0</v>
      </c>
      <c r="C5" s="364"/>
      <c r="D5" s="344" t="s">
        <v>23</v>
      </c>
      <c r="E5" s="71"/>
    </row>
    <row r="6" spans="1:5" ht="12.75" thickBot="1">
      <c r="A6" s="73"/>
      <c r="B6" s="365"/>
      <c r="C6" s="366"/>
      <c r="D6" s="345"/>
      <c r="E6" s="71"/>
    </row>
    <row r="7" spans="1:5" ht="20.25" customHeight="1" thickTop="1">
      <c r="A7" s="73"/>
      <c r="B7" s="7" t="s">
        <v>31</v>
      </c>
      <c r="C7" s="8" t="s">
        <v>1</v>
      </c>
      <c r="D7" s="1">
        <v>12.55</v>
      </c>
      <c r="E7" s="71"/>
    </row>
    <row r="8" spans="1:5" ht="20.25" customHeight="1">
      <c r="A8" s="73"/>
      <c r="B8" s="9" t="s">
        <v>31</v>
      </c>
      <c r="C8" s="10" t="s">
        <v>2</v>
      </c>
      <c r="D8" s="2">
        <v>0.8</v>
      </c>
      <c r="E8" s="71"/>
    </row>
    <row r="9" spans="1:5" ht="20.25" customHeight="1">
      <c r="A9" s="73"/>
      <c r="B9" s="9" t="s">
        <v>47</v>
      </c>
      <c r="C9" s="10" t="s">
        <v>1</v>
      </c>
      <c r="D9" s="2">
        <v>160000</v>
      </c>
      <c r="E9" s="71"/>
    </row>
    <row r="10" spans="1:5" ht="20.25" customHeight="1" thickBot="1">
      <c r="A10" s="73"/>
      <c r="B10" s="11" t="s">
        <v>47</v>
      </c>
      <c r="C10" s="31" t="s">
        <v>2</v>
      </c>
      <c r="D10" s="90">
        <v>43000</v>
      </c>
      <c r="E10" s="71"/>
    </row>
    <row r="11" spans="1:5" ht="20.25" customHeight="1" hidden="1" thickBot="1">
      <c r="A11" s="73"/>
      <c r="B11" s="28" t="s">
        <v>3</v>
      </c>
      <c r="C11" s="88" t="s">
        <v>12</v>
      </c>
      <c r="D11" s="89">
        <v>1.07</v>
      </c>
      <c r="E11" s="71"/>
    </row>
    <row r="12" spans="1:5" ht="20.25" customHeight="1" hidden="1" thickBot="1">
      <c r="A12" s="73"/>
      <c r="B12" s="28" t="s">
        <v>4</v>
      </c>
      <c r="C12" s="29"/>
      <c r="D12" s="30">
        <v>0</v>
      </c>
      <c r="E12" s="71"/>
    </row>
    <row r="13" spans="1:5" ht="20.25" customHeight="1" thickTop="1">
      <c r="A13" s="73"/>
      <c r="B13" s="73"/>
      <c r="C13" s="73"/>
      <c r="D13" s="73"/>
      <c r="E13" s="71"/>
    </row>
    <row r="14" spans="1:5" ht="15.75" thickBot="1">
      <c r="A14" s="73"/>
      <c r="B14" s="362"/>
      <c r="C14" s="362"/>
      <c r="D14" s="362"/>
      <c r="E14" s="71"/>
    </row>
    <row r="15" spans="1:5" ht="12">
      <c r="A15" s="73"/>
      <c r="B15" s="356" t="s">
        <v>13</v>
      </c>
      <c r="C15" s="357"/>
      <c r="D15" s="358"/>
      <c r="E15" s="71"/>
    </row>
    <row r="16" spans="1:5" ht="12.75" thickBot="1">
      <c r="A16" s="73"/>
      <c r="B16" s="359"/>
      <c r="C16" s="360"/>
      <c r="D16" s="361"/>
      <c r="E16" s="71"/>
    </row>
    <row r="17" spans="1:5" ht="19.5" customHeight="1" hidden="1" thickBot="1">
      <c r="A17" s="73"/>
      <c r="B17" s="342" t="s">
        <v>33</v>
      </c>
      <c r="C17" s="343"/>
      <c r="D17" s="27">
        <v>7</v>
      </c>
      <c r="E17" s="101"/>
    </row>
    <row r="18" spans="1:5" ht="19.5" customHeight="1" thickBot="1">
      <c r="A18" s="73"/>
      <c r="B18" s="116" t="s">
        <v>74</v>
      </c>
      <c r="C18" s="117"/>
      <c r="D18" s="118">
        <v>195</v>
      </c>
      <c r="E18" s="101"/>
    </row>
    <row r="19" spans="1:5" ht="19.5" customHeight="1" thickBot="1">
      <c r="A19" s="73"/>
      <c r="B19" s="354" t="s">
        <v>75</v>
      </c>
      <c r="C19" s="355"/>
      <c r="D19" s="118">
        <v>8</v>
      </c>
      <c r="E19" s="104"/>
    </row>
    <row r="20" spans="1:5" ht="12">
      <c r="A20" s="73"/>
      <c r="B20" s="71"/>
      <c r="C20" s="71"/>
      <c r="D20" s="71"/>
      <c r="E20" s="71"/>
    </row>
    <row r="21" spans="1:5" ht="12.75" thickBot="1">
      <c r="A21" s="73"/>
      <c r="B21" s="93"/>
      <c r="C21" s="93"/>
      <c r="D21" s="93"/>
      <c r="E21" s="71"/>
    </row>
    <row r="22" spans="1:5" ht="38.25" customHeight="1" thickBot="1">
      <c r="A22" s="300"/>
      <c r="B22" s="347" t="s">
        <v>126</v>
      </c>
      <c r="C22" s="348"/>
      <c r="D22" s="299" t="s">
        <v>23</v>
      </c>
      <c r="E22" s="301"/>
    </row>
    <row r="23" spans="1:5" ht="15">
      <c r="A23" s="301"/>
      <c r="B23" s="349" t="s">
        <v>127</v>
      </c>
      <c r="C23" s="350"/>
      <c r="D23" s="302">
        <v>3800</v>
      </c>
      <c r="E23" s="301"/>
    </row>
    <row r="24" spans="1:5" ht="15">
      <c r="A24" s="301"/>
      <c r="B24" s="349" t="s">
        <v>128</v>
      </c>
      <c r="C24" s="350"/>
      <c r="D24" s="303">
        <v>6000</v>
      </c>
      <c r="E24" s="301"/>
    </row>
    <row r="25" spans="1:5" ht="15">
      <c r="A25" s="301"/>
      <c r="B25" s="349" t="s">
        <v>129</v>
      </c>
      <c r="C25" s="350"/>
      <c r="D25" s="303">
        <v>7000</v>
      </c>
      <c r="E25" s="301"/>
    </row>
    <row r="26" spans="1:5" ht="15.75" thickBot="1">
      <c r="A26" s="301"/>
      <c r="B26" s="351" t="s">
        <v>130</v>
      </c>
      <c r="C26" s="352"/>
      <c r="D26" s="304">
        <v>7700</v>
      </c>
      <c r="E26" s="301"/>
    </row>
    <row r="27" spans="1:5" ht="12">
      <c r="A27" s="301"/>
      <c r="B27" s="301"/>
      <c r="C27" s="301"/>
      <c r="D27" s="301"/>
      <c r="E27" s="301"/>
    </row>
    <row r="28" spans="1:5" ht="12">
      <c r="A28" s="301"/>
      <c r="B28" s="301"/>
      <c r="C28" s="301"/>
      <c r="D28" s="301"/>
      <c r="E28" s="301"/>
    </row>
    <row r="29" spans="1:5" ht="12">
      <c r="A29" s="301"/>
      <c r="B29" s="301"/>
      <c r="C29" s="301"/>
      <c r="D29" s="301"/>
      <c r="E29" s="301"/>
    </row>
    <row r="30" spans="1:5" ht="12">
      <c r="A30" s="301"/>
      <c r="B30" s="301"/>
      <c r="C30" s="301"/>
      <c r="D30" s="301"/>
      <c r="E30" s="301"/>
    </row>
    <row r="31" spans="1:5" ht="12">
      <c r="A31" s="301"/>
      <c r="B31" s="301"/>
      <c r="C31" s="301"/>
      <c r="D31" s="301"/>
      <c r="E31" s="301"/>
    </row>
  </sheetData>
  <sheetProtection password="CCBC" sheet="1" objects="1" selectLockedCells="1" selectUnlockedCells="1"/>
  <mergeCells count="13">
    <mergeCell ref="B25:C25"/>
    <mergeCell ref="B26:C26"/>
    <mergeCell ref="A1:E2"/>
    <mergeCell ref="B19:C19"/>
    <mergeCell ref="B15:D16"/>
    <mergeCell ref="B14:D14"/>
    <mergeCell ref="B5:C6"/>
    <mergeCell ref="B17:C17"/>
    <mergeCell ref="D5:D6"/>
    <mergeCell ref="B3:D3"/>
    <mergeCell ref="B22:C22"/>
    <mergeCell ref="B23:C23"/>
    <mergeCell ref="B24:C24"/>
  </mergeCells>
  <printOptions/>
  <pageMargins left="0.75" right="0.5" top="0.64" bottom="0.83" header="0.4921259845" footer="0.492125984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S92"/>
  <sheetViews>
    <sheetView showGridLines="0" showRowColHeaders="0" showZeros="0" showOutlineSymbols="0" view="pageLayout" showRuler="0" zoomScaleNormal="85" workbookViewId="0" topLeftCell="A56">
      <selection activeCell="E3" sqref="E3"/>
    </sheetView>
  </sheetViews>
  <sheetFormatPr defaultColWidth="11.421875" defaultRowHeight="12.75"/>
  <cols>
    <col min="1" max="1" width="6.8515625" style="0" customWidth="1"/>
    <col min="2" max="2" width="10.140625" style="0" bestFit="1" customWidth="1"/>
    <col min="3" max="3" width="15.8515625" style="0" customWidth="1"/>
    <col min="4" max="4" width="31.00390625" style="0" customWidth="1"/>
    <col min="5" max="5" width="57.28125" style="0" customWidth="1"/>
    <col min="6" max="6" width="20.7109375" style="0" customWidth="1"/>
    <col min="7" max="7" width="6.28125" style="0" customWidth="1"/>
    <col min="8" max="8" width="20.140625" style="0" customWidth="1"/>
    <col min="9" max="9" width="19.28125" style="0" customWidth="1"/>
    <col min="10" max="10" width="21.421875" style="0" customWidth="1"/>
    <col min="11" max="11" width="6.7109375" style="0" customWidth="1"/>
    <col min="12" max="12" width="15.8515625" style="0" customWidth="1"/>
    <col min="13" max="13" width="7.00390625" style="0" customWidth="1"/>
    <col min="14" max="14" width="9.421875" style="0" hidden="1" customWidth="1"/>
    <col min="15" max="15" width="13.421875" style="0" hidden="1" customWidth="1"/>
    <col min="16" max="16" width="16.00390625" style="0" hidden="1" customWidth="1"/>
    <col min="17" max="17" width="15.8515625" style="0" hidden="1" customWidth="1"/>
    <col min="18" max="19" width="15.28125" style="0" hidden="1" customWidth="1"/>
    <col min="20" max="21" width="11.421875" style="0" hidden="1" customWidth="1"/>
    <col min="22" max="36" width="0" style="0" hidden="1" customWidth="1"/>
  </cols>
  <sheetData>
    <row r="1" spans="1:13" ht="75.75" customHeight="1" thickBot="1">
      <c r="A1" s="130"/>
      <c r="B1" s="130"/>
      <c r="C1" s="130"/>
      <c r="D1" s="131" t="str">
        <f>"Datenerfassung "&amp;Start!B5</f>
        <v>Datenerfassung Tagesschule</v>
      </c>
      <c r="E1" s="130"/>
      <c r="F1" s="130"/>
      <c r="G1" s="130"/>
      <c r="H1" s="130"/>
      <c r="I1" s="130"/>
      <c r="J1" s="130"/>
      <c r="K1" s="130"/>
      <c r="L1" s="132"/>
      <c r="M1" s="132"/>
    </row>
    <row r="2" spans="1:13" ht="30" customHeight="1" thickBot="1">
      <c r="A2" s="132"/>
      <c r="B2" s="132"/>
      <c r="C2" s="132"/>
      <c r="D2" s="133" t="s">
        <v>9</v>
      </c>
      <c r="E2" s="134"/>
      <c r="F2" s="130"/>
      <c r="G2" s="130"/>
      <c r="H2" s="130"/>
      <c r="I2" s="130"/>
      <c r="J2" s="130"/>
      <c r="K2" s="130"/>
      <c r="L2" s="132"/>
      <c r="M2" s="132"/>
    </row>
    <row r="3" spans="1:13" ht="18" customHeight="1">
      <c r="A3" s="130"/>
      <c r="B3" s="130"/>
      <c r="C3" s="130"/>
      <c r="D3" s="135" t="s">
        <v>81</v>
      </c>
      <c r="E3" s="121" t="s">
        <v>82</v>
      </c>
      <c r="F3" s="136"/>
      <c r="G3" s="136"/>
      <c r="H3" s="136"/>
      <c r="I3" s="132"/>
      <c r="J3" s="132"/>
      <c r="K3" s="132"/>
      <c r="L3" s="132"/>
      <c r="M3" s="132"/>
    </row>
    <row r="4" spans="1:13" ht="18" customHeight="1">
      <c r="A4" s="130"/>
      <c r="B4" s="130"/>
      <c r="C4" s="130"/>
      <c r="D4" s="135" t="s">
        <v>134</v>
      </c>
      <c r="E4" s="125" t="s">
        <v>117</v>
      </c>
      <c r="F4" s="132"/>
      <c r="G4" s="132"/>
      <c r="H4" s="132"/>
      <c r="I4" s="132"/>
      <c r="J4" s="132"/>
      <c r="K4" s="132"/>
      <c r="L4" s="132"/>
      <c r="M4" s="132"/>
    </row>
    <row r="5" spans="1:13" ht="18" customHeight="1">
      <c r="A5" s="130"/>
      <c r="B5" s="130"/>
      <c r="C5" s="130"/>
      <c r="D5" s="137" t="s">
        <v>135</v>
      </c>
      <c r="E5" s="124" t="s">
        <v>159</v>
      </c>
      <c r="F5" s="132"/>
      <c r="G5" s="132"/>
      <c r="H5" s="132"/>
      <c r="I5" s="132"/>
      <c r="J5" s="132"/>
      <c r="K5" s="132"/>
      <c r="L5" s="132"/>
      <c r="M5" s="132"/>
    </row>
    <row r="6" spans="1:13" ht="18" customHeight="1" thickBot="1">
      <c r="A6" s="130"/>
      <c r="B6" s="130"/>
      <c r="C6" s="130"/>
      <c r="D6" s="137" t="s">
        <v>87</v>
      </c>
      <c r="E6" s="124"/>
      <c r="F6" s="132"/>
      <c r="G6" s="132"/>
      <c r="H6" s="132"/>
      <c r="I6" s="132"/>
      <c r="J6" s="132"/>
      <c r="K6" s="132"/>
      <c r="L6" s="132"/>
      <c r="M6" s="132"/>
    </row>
    <row r="7" spans="1:13" ht="18" customHeight="1" hidden="1" thickBot="1">
      <c r="A7" s="130"/>
      <c r="B7" s="130"/>
      <c r="C7" s="130"/>
      <c r="D7" s="138" t="s">
        <v>65</v>
      </c>
      <c r="E7" s="62"/>
      <c r="F7" s="132"/>
      <c r="G7" s="132"/>
      <c r="H7" s="132"/>
      <c r="I7" s="132"/>
      <c r="J7" s="132"/>
      <c r="K7" s="132"/>
      <c r="L7" s="132"/>
      <c r="M7" s="132"/>
    </row>
    <row r="8" spans="1:13" ht="29.25" customHeight="1">
      <c r="A8" s="130"/>
      <c r="B8" s="130"/>
      <c r="C8" s="130"/>
      <c r="D8" s="137" t="s">
        <v>40</v>
      </c>
      <c r="E8" s="61" t="str">
        <f>E4</f>
        <v>Fränzi Muster</v>
      </c>
      <c r="F8" s="410" t="s">
        <v>18</v>
      </c>
      <c r="G8" s="411"/>
      <c r="H8" s="390" t="s">
        <v>111</v>
      </c>
      <c r="I8" s="391"/>
      <c r="J8" s="139" t="s">
        <v>19</v>
      </c>
      <c r="K8" s="384" t="s">
        <v>70</v>
      </c>
      <c r="L8" s="385"/>
      <c r="M8" s="132"/>
    </row>
    <row r="9" spans="1:13" ht="33" customHeight="1" thickBot="1">
      <c r="A9" s="130"/>
      <c r="B9" s="130"/>
      <c r="C9" s="130"/>
      <c r="D9" s="140" t="s">
        <v>41</v>
      </c>
      <c r="E9" s="60"/>
      <c r="F9" s="367" t="s">
        <v>18</v>
      </c>
      <c r="G9" s="368"/>
      <c r="H9" s="392"/>
      <c r="I9" s="393"/>
      <c r="J9" s="141" t="s">
        <v>19</v>
      </c>
      <c r="K9" s="386"/>
      <c r="L9" s="387"/>
      <c r="M9" s="132"/>
    </row>
    <row r="10" spans="1:13" ht="12.75" thickBo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2"/>
      <c r="M10" s="132"/>
    </row>
    <row r="11" spans="1:13" ht="15.75" customHeight="1">
      <c r="A11" s="130"/>
      <c r="B11" s="446" t="s">
        <v>53</v>
      </c>
      <c r="C11" s="447"/>
      <c r="D11" s="397" t="s">
        <v>83</v>
      </c>
      <c r="E11" s="398"/>
      <c r="F11" s="142"/>
      <c r="G11" s="142"/>
      <c r="H11" s="143"/>
      <c r="I11" s="130"/>
      <c r="J11" s="130"/>
      <c r="K11" s="144"/>
      <c r="L11" s="132"/>
      <c r="M11" s="132"/>
    </row>
    <row r="12" spans="1:13" ht="12.75">
      <c r="A12" s="130"/>
      <c r="B12" s="446"/>
      <c r="C12" s="447"/>
      <c r="D12" s="399"/>
      <c r="E12" s="400"/>
      <c r="F12" s="145"/>
      <c r="G12" s="145"/>
      <c r="H12" s="283"/>
      <c r="I12" s="130">
        <v>0</v>
      </c>
      <c r="J12" s="130"/>
      <c r="K12" s="144"/>
      <c r="L12" s="132"/>
      <c r="M12" s="132"/>
    </row>
    <row r="13" spans="1:13" ht="37.5" customHeight="1">
      <c r="A13" s="130"/>
      <c r="B13" s="446"/>
      <c r="C13" s="447"/>
      <c r="D13" s="435" t="s">
        <v>164</v>
      </c>
      <c r="E13" s="436"/>
      <c r="F13" s="436"/>
      <c r="G13" s="437"/>
      <c r="H13" s="305">
        <v>4</v>
      </c>
      <c r="I13" s="230">
        <f>IF(H13&lt;=1,"Familiengrösse muss grösser 1 sein","")</f>
      </c>
      <c r="J13" s="130"/>
      <c r="K13" s="130"/>
      <c r="L13" s="132"/>
      <c r="M13" s="132"/>
    </row>
    <row r="14" spans="1:13" ht="37.5" customHeight="1" thickBot="1">
      <c r="A14" s="130"/>
      <c r="B14" s="446"/>
      <c r="C14" s="447"/>
      <c r="D14" s="435" t="s">
        <v>163</v>
      </c>
      <c r="E14" s="436"/>
      <c r="F14" s="436"/>
      <c r="G14" s="437"/>
      <c r="H14" s="306">
        <v>4</v>
      </c>
      <c r="I14" s="230"/>
      <c r="J14" s="130"/>
      <c r="K14" s="130"/>
      <c r="L14" s="132"/>
      <c r="M14" s="132"/>
    </row>
    <row r="15" spans="1:15" ht="18" customHeight="1">
      <c r="A15" s="130"/>
      <c r="B15" s="446"/>
      <c r="C15" s="447"/>
      <c r="D15" s="449" t="s">
        <v>96</v>
      </c>
      <c r="E15" s="389"/>
      <c r="F15" s="228">
        <v>8</v>
      </c>
      <c r="G15" s="284" t="s">
        <v>120</v>
      </c>
      <c r="H15" s="278">
        <v>1</v>
      </c>
      <c r="I15" s="148">
        <f>IF(H15=0,0,F15*H15)</f>
        <v>8</v>
      </c>
      <c r="J15" s="130"/>
      <c r="K15" s="130"/>
      <c r="L15" s="132"/>
      <c r="M15" s="132"/>
      <c r="N15">
        <v>5</v>
      </c>
      <c r="O15">
        <f>N15*H22</f>
        <v>5</v>
      </c>
    </row>
    <row r="16" spans="1:13" ht="18" customHeight="1">
      <c r="A16" s="130"/>
      <c r="B16" s="446"/>
      <c r="C16" s="447"/>
      <c r="D16" s="449" t="s">
        <v>97</v>
      </c>
      <c r="E16" s="389"/>
      <c r="F16" s="228">
        <v>1</v>
      </c>
      <c r="G16" s="284" t="s">
        <v>120</v>
      </c>
      <c r="H16" s="278">
        <v>1</v>
      </c>
      <c r="I16" s="149">
        <f>IF(H16=0,0,F16*H16)</f>
        <v>1</v>
      </c>
      <c r="J16" s="130"/>
      <c r="K16" s="130"/>
      <c r="L16" s="132"/>
      <c r="M16" s="132"/>
    </row>
    <row r="17" spans="1:15" ht="18" customHeight="1">
      <c r="A17" s="130"/>
      <c r="B17" s="446"/>
      <c r="C17" s="447"/>
      <c r="D17" s="388" t="s">
        <v>98</v>
      </c>
      <c r="E17" s="389"/>
      <c r="F17" s="228">
        <v>1.5</v>
      </c>
      <c r="G17" s="284" t="s">
        <v>120</v>
      </c>
      <c r="H17" s="278">
        <v>1</v>
      </c>
      <c r="I17" s="150">
        <f>IF(H17=0,0,F17*H17)</f>
        <v>1.5</v>
      </c>
      <c r="J17" s="130"/>
      <c r="K17" s="130"/>
      <c r="L17" s="132"/>
      <c r="M17" s="132"/>
      <c r="N17" t="s">
        <v>93</v>
      </c>
      <c r="O17" t="s">
        <v>94</v>
      </c>
    </row>
    <row r="18" spans="1:15" ht="18" customHeight="1">
      <c r="A18" s="130"/>
      <c r="B18" s="446"/>
      <c r="C18" s="447"/>
      <c r="D18" s="450" t="s">
        <v>21</v>
      </c>
      <c r="E18" s="448"/>
      <c r="F18" s="147"/>
      <c r="G18" s="285" t="s">
        <v>123</v>
      </c>
      <c r="H18" s="280">
        <v>1</v>
      </c>
      <c r="I18" s="151">
        <f>IF((H18*H22)-P21&gt;O22,"Eingabe ist zu hoch",((H18*H22)-P21))</f>
        <v>1</v>
      </c>
      <c r="J18" s="230">
        <f>IF(H18&lt;=0,"Bitte Betreuungsstunden erfassen","")</f>
      </c>
      <c r="K18" s="130"/>
      <c r="L18" s="132"/>
      <c r="M18" s="136"/>
      <c r="N18">
        <f>Eckwerte!D19</f>
        <v>8</v>
      </c>
      <c r="O18">
        <v>40</v>
      </c>
    </row>
    <row r="19" spans="1:13" ht="18" customHeight="1" thickBot="1">
      <c r="A19" s="130"/>
      <c r="B19" s="446"/>
      <c r="C19" s="447"/>
      <c r="D19" s="388" t="s">
        <v>77</v>
      </c>
      <c r="E19" s="448"/>
      <c r="F19" s="153"/>
      <c r="G19" s="286" t="s">
        <v>122</v>
      </c>
      <c r="H19" s="282">
        <v>44835</v>
      </c>
      <c r="I19" s="13">
        <v>44842</v>
      </c>
      <c r="J19" s="230">
        <f>IF(OR(H19&lt;=0,I19&lt;=0),"Bitte Abrechnungsperiode erfassen","")</f>
      </c>
      <c r="K19" s="130"/>
      <c r="L19" s="132"/>
      <c r="M19" s="136"/>
    </row>
    <row r="20" spans="1:13" ht="18" customHeight="1">
      <c r="A20" s="130"/>
      <c r="B20" s="446"/>
      <c r="C20" s="447"/>
      <c r="D20" s="154" t="s">
        <v>76</v>
      </c>
      <c r="E20" s="155"/>
      <c r="F20" s="288" t="s">
        <v>99</v>
      </c>
      <c r="G20" s="284" t="s">
        <v>121</v>
      </c>
      <c r="H20" s="281">
        <v>0</v>
      </c>
      <c r="I20" s="132"/>
      <c r="J20" s="152"/>
      <c r="K20" s="130"/>
      <c r="L20" s="132"/>
      <c r="M20" s="136"/>
    </row>
    <row r="21" spans="1:16" ht="18" customHeight="1">
      <c r="A21" s="130"/>
      <c r="B21" s="446"/>
      <c r="C21" s="447"/>
      <c r="D21" s="156" t="s">
        <v>102</v>
      </c>
      <c r="E21" s="155"/>
      <c r="F21" s="289" t="s">
        <v>99</v>
      </c>
      <c r="G21" s="286" t="s">
        <v>123</v>
      </c>
      <c r="H21" s="281">
        <v>0</v>
      </c>
      <c r="I21" s="152"/>
      <c r="J21" s="152"/>
      <c r="K21" s="130"/>
      <c r="L21" s="132"/>
      <c r="M21" s="136"/>
      <c r="N21" s="18" t="s">
        <v>108</v>
      </c>
      <c r="P21" s="205">
        <f>H21</f>
        <v>0</v>
      </c>
    </row>
    <row r="22" spans="1:16" ht="18" customHeight="1" thickBot="1">
      <c r="A22" s="130"/>
      <c r="B22" s="130"/>
      <c r="C22" s="157"/>
      <c r="D22" s="158" t="s">
        <v>78</v>
      </c>
      <c r="E22" s="159"/>
      <c r="F22" s="160"/>
      <c r="G22" s="287" t="s">
        <v>121</v>
      </c>
      <c r="H22" s="279">
        <f>ROUND((I19-H19)/P23,0)-H20</f>
        <v>1</v>
      </c>
      <c r="I22" s="132"/>
      <c r="J22" s="152"/>
      <c r="K22" s="130"/>
      <c r="L22" s="132"/>
      <c r="M22" s="132"/>
      <c r="O22">
        <f>O18*H22</f>
        <v>40</v>
      </c>
      <c r="P22" s="205">
        <f>H20</f>
        <v>0</v>
      </c>
    </row>
    <row r="23" spans="1:16" ht="13.5" thickBot="1">
      <c r="A23" s="130"/>
      <c r="B23" s="382" t="s">
        <v>84</v>
      </c>
      <c r="C23" s="445" t="s">
        <v>85</v>
      </c>
      <c r="D23" s="161"/>
      <c r="E23" s="161"/>
      <c r="F23" s="162"/>
      <c r="G23" s="162"/>
      <c r="H23" s="163"/>
      <c r="I23" s="152"/>
      <c r="J23" s="130"/>
      <c r="K23" s="130"/>
      <c r="L23" s="132"/>
      <c r="M23" s="132"/>
      <c r="N23" t="s">
        <v>95</v>
      </c>
      <c r="P23">
        <v>7</v>
      </c>
    </row>
    <row r="24" spans="1:13" ht="15.75" customHeight="1">
      <c r="A24" s="130"/>
      <c r="B24" s="382"/>
      <c r="C24" s="445"/>
      <c r="D24" s="404" t="s">
        <v>115</v>
      </c>
      <c r="E24" s="405"/>
      <c r="F24" s="405"/>
      <c r="G24" s="406"/>
      <c r="H24" s="164"/>
      <c r="I24" s="165"/>
      <c r="J24" s="130"/>
      <c r="K24" s="130"/>
      <c r="L24" s="132"/>
      <c r="M24" s="132"/>
    </row>
    <row r="25" spans="1:13" ht="28.5" customHeight="1" thickBot="1">
      <c r="A25" s="166"/>
      <c r="B25" s="383"/>
      <c r="C25" s="445"/>
      <c r="D25" s="407"/>
      <c r="E25" s="408"/>
      <c r="F25" s="408"/>
      <c r="G25" s="409"/>
      <c r="H25" s="167" t="s">
        <v>131</v>
      </c>
      <c r="I25" s="168" t="s">
        <v>132</v>
      </c>
      <c r="J25" s="169"/>
      <c r="K25" s="130"/>
      <c r="L25" s="132"/>
      <c r="M25" s="132"/>
    </row>
    <row r="26" spans="1:13" ht="18" customHeight="1">
      <c r="A26" s="130"/>
      <c r="B26" s="369">
        <v>2</v>
      </c>
      <c r="C26" s="317">
        <v>2.21</v>
      </c>
      <c r="D26" s="438" t="s">
        <v>136</v>
      </c>
      <c r="E26" s="439"/>
      <c r="F26" s="439"/>
      <c r="G26" s="440"/>
      <c r="H26" s="231">
        <v>50000</v>
      </c>
      <c r="I26" s="34">
        <v>60000</v>
      </c>
      <c r="J26" s="169"/>
      <c r="K26" s="130"/>
      <c r="L26" s="132"/>
      <c r="M26" s="132"/>
    </row>
    <row r="27" spans="1:13" ht="18" customHeight="1">
      <c r="A27" s="130"/>
      <c r="B27" s="370"/>
      <c r="C27" s="318">
        <v>2.25</v>
      </c>
      <c r="D27" s="314" t="s">
        <v>137</v>
      </c>
      <c r="E27" s="308"/>
      <c r="F27" s="308"/>
      <c r="G27" s="309"/>
      <c r="H27" s="231">
        <v>500</v>
      </c>
      <c r="I27" s="310">
        <v>50</v>
      </c>
      <c r="J27" s="169"/>
      <c r="K27" s="130"/>
      <c r="L27" s="132"/>
      <c r="M27" s="132"/>
    </row>
    <row r="28" spans="1:13" ht="18" customHeight="1">
      <c r="A28" s="130"/>
      <c r="B28" s="370"/>
      <c r="C28" s="318" t="s">
        <v>125</v>
      </c>
      <c r="D28" s="371" t="s">
        <v>138</v>
      </c>
      <c r="E28" s="372"/>
      <c r="F28" s="372"/>
      <c r="G28" s="373"/>
      <c r="H28" s="36">
        <v>600</v>
      </c>
      <c r="I28" s="37">
        <v>60</v>
      </c>
      <c r="J28" s="169"/>
      <c r="K28" s="130"/>
      <c r="L28" s="132"/>
      <c r="M28" s="132"/>
    </row>
    <row r="29" spans="1:13" ht="18" customHeight="1">
      <c r="A29" s="166"/>
      <c r="B29" s="370"/>
      <c r="C29" s="319">
        <v>2.24</v>
      </c>
      <c r="D29" s="371" t="s">
        <v>139</v>
      </c>
      <c r="E29" s="372"/>
      <c r="F29" s="372"/>
      <c r="G29" s="373"/>
      <c r="H29" s="33">
        <v>700</v>
      </c>
      <c r="I29" s="35">
        <v>70</v>
      </c>
      <c r="J29" s="166"/>
      <c r="K29" s="173"/>
      <c r="L29" s="174" t="s">
        <v>51</v>
      </c>
      <c r="M29" s="132"/>
    </row>
    <row r="30" spans="1:13" ht="18" customHeight="1">
      <c r="A30" s="166"/>
      <c r="B30" s="315" t="s">
        <v>141</v>
      </c>
      <c r="C30" s="318" t="s">
        <v>142</v>
      </c>
      <c r="D30" s="371" t="s">
        <v>140</v>
      </c>
      <c r="E30" s="372"/>
      <c r="F30" s="372"/>
      <c r="G30" s="373"/>
      <c r="H30" s="36">
        <v>800</v>
      </c>
      <c r="I30" s="128">
        <v>80</v>
      </c>
      <c r="J30" s="166"/>
      <c r="K30" s="175"/>
      <c r="L30" s="176" t="s">
        <v>50</v>
      </c>
      <c r="M30" s="132"/>
    </row>
    <row r="31" spans="1:13" ht="26.25" customHeight="1">
      <c r="A31" s="166"/>
      <c r="B31" s="316" t="s">
        <v>143</v>
      </c>
      <c r="C31" s="320" t="s">
        <v>144</v>
      </c>
      <c r="D31" s="371" t="s">
        <v>162</v>
      </c>
      <c r="E31" s="372"/>
      <c r="F31" s="372"/>
      <c r="G31" s="373"/>
      <c r="H31" s="36">
        <v>900</v>
      </c>
      <c r="I31" s="128">
        <v>90</v>
      </c>
      <c r="J31" s="166"/>
      <c r="K31" s="324"/>
      <c r="L31" s="325"/>
      <c r="M31" s="132"/>
    </row>
    <row r="32" spans="1:13" ht="18" customHeight="1">
      <c r="A32" s="166"/>
      <c r="B32" s="315" t="s">
        <v>145</v>
      </c>
      <c r="C32" s="321">
        <v>8.3</v>
      </c>
      <c r="D32" s="313" t="s">
        <v>146</v>
      </c>
      <c r="E32" s="213"/>
      <c r="F32" s="213"/>
      <c r="G32" s="307"/>
      <c r="H32" s="36">
        <v>1000</v>
      </c>
      <c r="I32" s="128">
        <v>100</v>
      </c>
      <c r="J32" s="166"/>
      <c r="K32" s="324"/>
      <c r="L32" s="325"/>
      <c r="M32" s="132"/>
    </row>
    <row r="33" spans="1:13" ht="18" customHeight="1">
      <c r="A33" s="166"/>
      <c r="B33" s="315" t="s">
        <v>147</v>
      </c>
      <c r="C33" s="321" t="s">
        <v>148</v>
      </c>
      <c r="D33" s="313" t="s">
        <v>149</v>
      </c>
      <c r="E33" s="213"/>
      <c r="F33" s="213"/>
      <c r="G33" s="307"/>
      <c r="H33" s="36">
        <v>1100</v>
      </c>
      <c r="I33" s="128">
        <v>110</v>
      </c>
      <c r="J33" s="166"/>
      <c r="K33" s="324"/>
      <c r="L33" s="325"/>
      <c r="M33" s="132"/>
    </row>
    <row r="34" spans="1:13" ht="18" customHeight="1">
      <c r="A34" s="166"/>
      <c r="B34" s="315" t="s">
        <v>150</v>
      </c>
      <c r="C34" s="321">
        <v>4.3</v>
      </c>
      <c r="D34" s="313" t="s">
        <v>151</v>
      </c>
      <c r="E34" s="213"/>
      <c r="F34" s="213"/>
      <c r="G34" s="307"/>
      <c r="H34" s="36">
        <v>1200</v>
      </c>
      <c r="I34" s="128">
        <v>120</v>
      </c>
      <c r="J34" s="166"/>
      <c r="K34" s="324"/>
      <c r="L34" s="325"/>
      <c r="M34" s="132"/>
    </row>
    <row r="35" spans="1:13" ht="22.5" customHeight="1" thickBot="1">
      <c r="A35" s="166"/>
      <c r="B35" s="322" t="s">
        <v>153</v>
      </c>
      <c r="C35" s="323" t="s">
        <v>154</v>
      </c>
      <c r="D35" s="371" t="s">
        <v>152</v>
      </c>
      <c r="E35" s="372"/>
      <c r="F35" s="372"/>
      <c r="G35" s="373"/>
      <c r="H35" s="204">
        <v>1300</v>
      </c>
      <c r="I35" s="128">
        <v>130</v>
      </c>
      <c r="J35" s="166"/>
      <c r="K35" s="326"/>
      <c r="L35" s="327"/>
      <c r="M35" s="132"/>
    </row>
    <row r="36" spans="1:18" ht="18" customHeight="1" hidden="1" thickBot="1">
      <c r="A36" s="130"/>
      <c r="B36" s="226"/>
      <c r="C36" s="227"/>
      <c r="D36" s="215" t="s">
        <v>113</v>
      </c>
      <c r="E36" s="216"/>
      <c r="F36" s="217"/>
      <c r="G36" s="217"/>
      <c r="H36" s="53">
        <v>0</v>
      </c>
      <c r="I36" s="54">
        <v>0</v>
      </c>
      <c r="J36" s="130"/>
      <c r="K36" s="326"/>
      <c r="L36" s="327"/>
      <c r="M36" s="132"/>
      <c r="N36" s="85" t="s">
        <v>46</v>
      </c>
      <c r="O36" s="79">
        <f>IF(I46&gt;100000,ROUND(((I46-100000)*5%/12)*20,0)/20,0)</f>
        <v>0</v>
      </c>
      <c r="P36" s="80">
        <f>SUM(H29:H36)+H26</f>
        <v>57000</v>
      </c>
      <c r="Q36" s="86">
        <f>SUM(I29:I36)+I26</f>
        <v>60700</v>
      </c>
      <c r="R36" s="24"/>
    </row>
    <row r="37" spans="1:18" ht="18.75" customHeight="1" hidden="1" thickBot="1">
      <c r="A37" s="166"/>
      <c r="B37" s="177"/>
      <c r="C37" s="166"/>
      <c r="D37" s="218"/>
      <c r="E37" s="218"/>
      <c r="F37" s="219"/>
      <c r="G37" s="273"/>
      <c r="H37" s="132"/>
      <c r="I37" s="132"/>
      <c r="J37" s="166"/>
      <c r="K37" s="328"/>
      <c r="L37" s="327"/>
      <c r="M37" s="132"/>
      <c r="N37" s="81"/>
      <c r="O37" s="24"/>
      <c r="P37" s="51">
        <f>H28</f>
        <v>600</v>
      </c>
      <c r="Q37" s="87">
        <f>I28</f>
        <v>60</v>
      </c>
      <c r="R37" s="24"/>
    </row>
    <row r="38" spans="1:18" ht="18" customHeight="1" hidden="1" thickBot="1">
      <c r="A38" s="166"/>
      <c r="B38" s="177"/>
      <c r="C38" s="166"/>
      <c r="D38" s="220" t="s">
        <v>22</v>
      </c>
      <c r="E38" s="221"/>
      <c r="F38" s="222"/>
      <c r="G38" s="274"/>
      <c r="H38" s="178"/>
      <c r="I38" s="178"/>
      <c r="J38" s="130"/>
      <c r="K38" s="328"/>
      <c r="L38" s="327"/>
      <c r="M38" s="132"/>
      <c r="N38" s="81"/>
      <c r="O38" s="24"/>
      <c r="P38" s="24"/>
      <c r="Q38" s="84"/>
      <c r="R38" s="24"/>
    </row>
    <row r="39" spans="1:18" ht="18" customHeight="1" hidden="1" thickBot="1">
      <c r="A39" s="166"/>
      <c r="B39" s="170">
        <v>9</v>
      </c>
      <c r="C39" s="179">
        <v>9210</v>
      </c>
      <c r="D39" s="212" t="s">
        <v>66</v>
      </c>
      <c r="E39" s="213"/>
      <c r="F39" s="214"/>
      <c r="G39" s="214"/>
      <c r="H39" s="171"/>
      <c r="I39" s="172"/>
      <c r="J39" s="166"/>
      <c r="K39" s="326"/>
      <c r="L39" s="327"/>
      <c r="M39" s="132"/>
      <c r="N39" s="83"/>
      <c r="O39" s="16"/>
      <c r="P39" s="51">
        <f>SUM(P36:P37)</f>
        <v>57600</v>
      </c>
      <c r="Q39" s="87">
        <f>SUM(Q36:Q37)</f>
        <v>60760</v>
      </c>
      <c r="R39" s="24"/>
    </row>
    <row r="40" spans="1:18" ht="18" customHeight="1" hidden="1" thickBot="1">
      <c r="A40" s="166"/>
      <c r="B40" s="177"/>
      <c r="C40" s="166"/>
      <c r="D40" s="212"/>
      <c r="E40" s="213"/>
      <c r="F40" s="214"/>
      <c r="G40" s="275"/>
      <c r="H40" s="180"/>
      <c r="I40" s="181"/>
      <c r="J40" s="166"/>
      <c r="K40" s="326"/>
      <c r="L40" s="327"/>
      <c r="M40" s="132"/>
      <c r="N40" s="81"/>
      <c r="O40" s="24"/>
      <c r="P40" s="24"/>
      <c r="Q40" s="84"/>
      <c r="R40" s="24"/>
    </row>
    <row r="41" spans="1:18" ht="18" customHeight="1" hidden="1">
      <c r="A41" s="166"/>
      <c r="B41" s="177"/>
      <c r="C41" s="166"/>
      <c r="D41" s="212"/>
      <c r="E41" s="213"/>
      <c r="F41" s="214"/>
      <c r="G41" s="211"/>
      <c r="H41" s="182"/>
      <c r="I41" s="183"/>
      <c r="J41" s="166"/>
      <c r="K41" s="326"/>
      <c r="L41" s="327"/>
      <c r="M41" s="132"/>
      <c r="N41" s="81"/>
      <c r="O41" s="24"/>
      <c r="P41" s="24"/>
      <c r="Q41" s="84"/>
      <c r="R41" s="24"/>
    </row>
    <row r="42" spans="1:18" ht="18" customHeight="1" hidden="1" thickBot="1">
      <c r="A42" s="166"/>
      <c r="B42" s="177"/>
      <c r="C42" s="166"/>
      <c r="D42" s="223"/>
      <c r="E42" s="224"/>
      <c r="F42" s="224"/>
      <c r="G42" s="224"/>
      <c r="H42" s="184"/>
      <c r="I42" s="185"/>
      <c r="J42" s="166"/>
      <c r="K42" s="326"/>
      <c r="L42" s="327"/>
      <c r="M42" s="132"/>
      <c r="N42" s="81"/>
      <c r="O42" s="24"/>
      <c r="P42" s="46"/>
      <c r="Q42" s="82"/>
      <c r="R42" s="24"/>
    </row>
    <row r="43" spans="1:18" ht="18" customHeight="1" thickBot="1">
      <c r="A43" s="166"/>
      <c r="B43" s="177"/>
      <c r="C43" s="166"/>
      <c r="D43" s="401" t="s">
        <v>62</v>
      </c>
      <c r="E43" s="402"/>
      <c r="F43" s="402"/>
      <c r="G43" s="403"/>
      <c r="H43" s="186">
        <f>SUM(H26:H32)-H33-H34-H35</f>
        <v>50900</v>
      </c>
      <c r="I43" s="186">
        <f>SUM(I26:I32)-I33-I34-I35</f>
        <v>60090</v>
      </c>
      <c r="J43" s="166"/>
      <c r="K43" s="326"/>
      <c r="L43" s="327"/>
      <c r="M43" s="132"/>
      <c r="N43" s="78"/>
      <c r="O43" s="79"/>
      <c r="P43" s="80"/>
      <c r="Q43" s="86"/>
      <c r="R43" s="24"/>
    </row>
    <row r="44" spans="1:18" ht="12.75" thickBot="1">
      <c r="A44" s="166"/>
      <c r="B44" s="177"/>
      <c r="C44" s="166"/>
      <c r="D44" s="187"/>
      <c r="E44" s="187"/>
      <c r="F44" s="187"/>
      <c r="G44" s="187"/>
      <c r="H44" s="187"/>
      <c r="I44" s="187"/>
      <c r="J44" s="166"/>
      <c r="K44" s="166"/>
      <c r="L44" s="132"/>
      <c r="M44" s="132"/>
      <c r="N44" s="81" t="s">
        <v>43</v>
      </c>
      <c r="O44" s="24"/>
      <c r="P44" s="46">
        <f>H46</f>
        <v>40000</v>
      </c>
      <c r="Q44" s="82">
        <f>I46</f>
        <v>10000</v>
      </c>
      <c r="R44" s="46"/>
    </row>
    <row r="45" spans="1:18" ht="18" customHeight="1" thickBot="1">
      <c r="A45" s="166"/>
      <c r="B45" s="177"/>
      <c r="C45" s="166"/>
      <c r="D45" s="394" t="s">
        <v>116</v>
      </c>
      <c r="E45" s="395"/>
      <c r="F45" s="395"/>
      <c r="G45" s="396"/>
      <c r="H45" s="178"/>
      <c r="I45" s="178"/>
      <c r="J45" s="166"/>
      <c r="K45" s="166"/>
      <c r="L45" s="132"/>
      <c r="M45" s="132"/>
      <c r="N45" s="81"/>
      <c r="O45" s="24"/>
      <c r="P45" s="46">
        <f>ROUND((H46*$F$47)*20,0)/20</f>
        <v>2000</v>
      </c>
      <c r="Q45" s="82">
        <f>ROUND((I46*$F$47)*20,0)/20</f>
        <v>500</v>
      </c>
      <c r="R45" s="46"/>
    </row>
    <row r="46" spans="1:18" ht="70.5" customHeight="1" thickBot="1">
      <c r="A46" s="166"/>
      <c r="B46" s="329" t="s">
        <v>155</v>
      </c>
      <c r="C46" s="330" t="s">
        <v>156</v>
      </c>
      <c r="D46" s="454" t="s">
        <v>116</v>
      </c>
      <c r="E46" s="455"/>
      <c r="F46" s="455"/>
      <c r="G46" s="456"/>
      <c r="H46" s="209">
        <v>40000</v>
      </c>
      <c r="I46" s="123">
        <v>10000</v>
      </c>
      <c r="J46" s="166"/>
      <c r="K46" s="166"/>
      <c r="L46" s="132"/>
      <c r="M46" s="132"/>
      <c r="N46" s="83"/>
      <c r="O46" s="16"/>
      <c r="P46" s="51"/>
      <c r="Q46" s="87">
        <f>IF((P45+Q45)&gt;0,P45+Q45,0)</f>
        <v>2500</v>
      </c>
      <c r="R46" s="24"/>
    </row>
    <row r="47" spans="1:13" ht="18" customHeight="1" hidden="1" thickBot="1">
      <c r="A47" s="166"/>
      <c r="B47" s="177"/>
      <c r="C47" s="166"/>
      <c r="D47" s="293" t="s">
        <v>45</v>
      </c>
      <c r="E47" s="292"/>
      <c r="F47" s="276">
        <v>0.05</v>
      </c>
      <c r="G47" s="276"/>
      <c r="H47" s="208">
        <f>H46*F47</f>
        <v>2000</v>
      </c>
      <c r="I47" s="195">
        <f>I46*H47</f>
        <v>20000000</v>
      </c>
      <c r="J47" s="166"/>
      <c r="K47" s="166"/>
      <c r="L47" s="132"/>
      <c r="M47" s="132"/>
    </row>
    <row r="48" spans="1:16" ht="18" customHeight="1" thickBot="1">
      <c r="A48" s="166"/>
      <c r="B48" s="177"/>
      <c r="C48" s="166"/>
      <c r="D48" s="426" t="s">
        <v>106</v>
      </c>
      <c r="E48" s="427"/>
      <c r="F48" s="427"/>
      <c r="G48" s="451"/>
      <c r="H48" s="206">
        <f>P45</f>
        <v>2000</v>
      </c>
      <c r="I48" s="207">
        <f>Q45</f>
        <v>500</v>
      </c>
      <c r="J48" s="166"/>
      <c r="K48" s="166"/>
      <c r="L48" s="132"/>
      <c r="M48" s="132"/>
      <c r="N48" s="15"/>
      <c r="P48" s="38"/>
    </row>
    <row r="49" spans="1:17" ht="12.75" thickBot="1">
      <c r="A49" s="166"/>
      <c r="B49" s="177"/>
      <c r="C49" s="166"/>
      <c r="D49" s="132"/>
      <c r="E49" s="132"/>
      <c r="F49" s="132"/>
      <c r="G49" s="132"/>
      <c r="H49" s="132"/>
      <c r="I49" s="132"/>
      <c r="J49" s="166"/>
      <c r="K49" s="166"/>
      <c r="L49" s="132"/>
      <c r="M49" s="132"/>
      <c r="N49" s="78"/>
      <c r="O49" s="79"/>
      <c r="P49" s="94"/>
      <c r="Q49" s="95" t="s">
        <v>62</v>
      </c>
    </row>
    <row r="50" spans="1:17" ht="18" customHeight="1" thickBot="1">
      <c r="A50" s="130"/>
      <c r="B50" s="188"/>
      <c r="C50" s="130"/>
      <c r="D50" s="426" t="s">
        <v>10</v>
      </c>
      <c r="E50" s="427"/>
      <c r="F50" s="427"/>
      <c r="G50" s="272"/>
      <c r="H50" s="189"/>
      <c r="I50" s="190"/>
      <c r="J50" s="130"/>
      <c r="K50" s="130"/>
      <c r="L50" s="132"/>
      <c r="M50" s="132"/>
      <c r="N50" s="96" t="s">
        <v>10</v>
      </c>
      <c r="O50" s="46">
        <f>H51</f>
        <v>0</v>
      </c>
      <c r="P50" s="46">
        <f>I51</f>
        <v>0</v>
      </c>
      <c r="Q50" s="82">
        <f>SUM(O50:P50)</f>
        <v>0</v>
      </c>
    </row>
    <row r="51" spans="1:17" ht="18" customHeight="1" hidden="1" thickBot="1">
      <c r="A51" s="130"/>
      <c r="B51" s="311">
        <v>5</v>
      </c>
      <c r="C51" s="312">
        <v>5.1</v>
      </c>
      <c r="D51" s="457" t="s">
        <v>105</v>
      </c>
      <c r="E51" s="458"/>
      <c r="F51" s="191"/>
      <c r="G51" s="191"/>
      <c r="H51" s="122">
        <v>0</v>
      </c>
      <c r="I51" s="123">
        <v>0</v>
      </c>
      <c r="J51" s="130"/>
      <c r="K51" s="130"/>
      <c r="L51" s="132"/>
      <c r="M51" s="132"/>
      <c r="N51" s="96"/>
      <c r="O51" s="24"/>
      <c r="P51" s="97">
        <v>3</v>
      </c>
      <c r="Q51" s="82">
        <f>H53</f>
      </c>
    </row>
    <row r="52" spans="1:17" ht="18" customHeight="1" hidden="1" thickBo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2"/>
      <c r="M52" s="132"/>
      <c r="N52" s="96"/>
      <c r="O52" s="24"/>
      <c r="P52" s="97"/>
      <c r="Q52" s="82"/>
    </row>
    <row r="53" spans="1:17" ht="18" customHeight="1">
      <c r="A53" s="130"/>
      <c r="B53" s="130"/>
      <c r="C53" s="130"/>
      <c r="D53" s="192" t="s">
        <v>67</v>
      </c>
      <c r="E53" s="193"/>
      <c r="F53" s="380">
        <v>3800</v>
      </c>
      <c r="G53" s="381"/>
      <c r="H53" s="376">
        <f>IF($H$13=3,F53*H14,"")</f>
      </c>
      <c r="I53" s="377"/>
      <c r="J53" s="130"/>
      <c r="K53" s="130"/>
      <c r="L53" s="132"/>
      <c r="M53" s="132"/>
      <c r="N53" s="96"/>
      <c r="O53" s="24"/>
      <c r="P53" s="97">
        <v>4</v>
      </c>
      <c r="Q53" s="82">
        <f>H54</f>
        <v>24000</v>
      </c>
    </row>
    <row r="54" spans="1:17" ht="18" customHeight="1">
      <c r="A54" s="130"/>
      <c r="B54" s="130"/>
      <c r="C54" s="130"/>
      <c r="D54" s="137" t="s">
        <v>72</v>
      </c>
      <c r="E54" s="146"/>
      <c r="F54" s="452">
        <v>6000</v>
      </c>
      <c r="G54" s="453"/>
      <c r="H54" s="374">
        <f>IF($H$13=4,F54*H14,"")</f>
        <v>24000</v>
      </c>
      <c r="I54" s="375"/>
      <c r="J54" s="130"/>
      <c r="K54" s="130"/>
      <c r="L54" s="132"/>
      <c r="M54" s="132"/>
      <c r="N54" s="96"/>
      <c r="O54" s="24"/>
      <c r="P54" s="97">
        <v>5</v>
      </c>
      <c r="Q54" s="82">
        <f>H55</f>
      </c>
    </row>
    <row r="55" spans="1:17" ht="18" customHeight="1">
      <c r="A55" s="130"/>
      <c r="B55" s="130"/>
      <c r="C55" s="130"/>
      <c r="D55" s="137" t="s">
        <v>73</v>
      </c>
      <c r="E55" s="146"/>
      <c r="F55" s="378">
        <v>7000</v>
      </c>
      <c r="G55" s="379"/>
      <c r="H55" s="374">
        <f>IF($H$13=5,F55*H14,"")</f>
      </c>
      <c r="I55" s="375"/>
      <c r="J55" s="130"/>
      <c r="K55" s="130"/>
      <c r="L55" s="132"/>
      <c r="M55" s="132"/>
      <c r="N55" s="96"/>
      <c r="O55" s="24"/>
      <c r="P55" s="97">
        <f>H13</f>
        <v>4</v>
      </c>
      <c r="Q55" s="82">
        <f>H56</f>
      </c>
    </row>
    <row r="56" spans="1:17" ht="18" customHeight="1" thickBot="1">
      <c r="A56" s="130"/>
      <c r="B56" s="130"/>
      <c r="C56" s="130"/>
      <c r="D56" s="137" t="s">
        <v>103</v>
      </c>
      <c r="E56" s="146"/>
      <c r="F56" s="441">
        <v>7700</v>
      </c>
      <c r="G56" s="442"/>
      <c r="H56" s="374">
        <f>IF($H$13&gt;=6,F56*H14,"")</f>
      </c>
      <c r="I56" s="375"/>
      <c r="J56" s="130"/>
      <c r="K56" s="130"/>
      <c r="L56" s="132"/>
      <c r="M56" s="132"/>
      <c r="N56" s="98"/>
      <c r="O56" s="16"/>
      <c r="P56" s="99" t="s">
        <v>61</v>
      </c>
      <c r="Q56" s="87">
        <f>SUM(Q50:Q55)</f>
        <v>24000</v>
      </c>
    </row>
    <row r="57" spans="1:17" ht="18" customHeight="1" thickBot="1">
      <c r="A57" s="130"/>
      <c r="B57" s="130"/>
      <c r="C57" s="130"/>
      <c r="D57" s="426" t="s">
        <v>104</v>
      </c>
      <c r="E57" s="427"/>
      <c r="F57" s="191"/>
      <c r="G57" s="191"/>
      <c r="H57" s="428">
        <f>IF(Q56="",0,Q56)</f>
        <v>24000</v>
      </c>
      <c r="I57" s="429"/>
      <c r="J57" s="130"/>
      <c r="K57" s="130"/>
      <c r="L57" s="132"/>
      <c r="M57" s="132"/>
      <c r="P57" s="38"/>
      <c r="Q57" s="38"/>
    </row>
    <row r="58" spans="1:16" ht="12.75" thickBot="1">
      <c r="A58" s="166"/>
      <c r="B58" s="166"/>
      <c r="C58" s="166"/>
      <c r="D58" s="132"/>
      <c r="E58" s="132"/>
      <c r="F58" s="132"/>
      <c r="G58" s="132"/>
      <c r="H58" s="132"/>
      <c r="I58" s="132"/>
      <c r="J58" s="166"/>
      <c r="K58" s="166"/>
      <c r="L58" s="132"/>
      <c r="M58" s="132"/>
      <c r="P58" s="15" t="s">
        <v>37</v>
      </c>
    </row>
    <row r="59" spans="1:17" ht="18" customHeight="1" thickBot="1">
      <c r="A59" s="130"/>
      <c r="B59" s="130"/>
      <c r="C59" s="130"/>
      <c r="D59" s="133" t="s">
        <v>11</v>
      </c>
      <c r="E59" s="191"/>
      <c r="F59" s="191"/>
      <c r="G59" s="191"/>
      <c r="H59" s="189"/>
      <c r="I59" s="191"/>
      <c r="J59" s="190"/>
      <c r="K59" s="130"/>
      <c r="L59" s="132"/>
      <c r="M59" s="132"/>
      <c r="P59" s="38">
        <f>H43</f>
        <v>50900</v>
      </c>
      <c r="Q59" s="38">
        <f>I43</f>
        <v>60090</v>
      </c>
    </row>
    <row r="60" spans="1:17" ht="18" customHeight="1" thickBot="1">
      <c r="A60" s="130"/>
      <c r="B60" s="130"/>
      <c r="C60" s="130"/>
      <c r="D60" s="443" t="s">
        <v>112</v>
      </c>
      <c r="E60" s="439"/>
      <c r="F60" s="439"/>
      <c r="G60" s="444"/>
      <c r="H60" s="290">
        <f>IF(P64="","",P64)</f>
        <v>50900</v>
      </c>
      <c r="I60" s="194">
        <f>IF(Q64="","",Q64)</f>
        <v>60090</v>
      </c>
      <c r="J60" s="195">
        <f>SUM(H60:I60)</f>
        <v>110990</v>
      </c>
      <c r="K60" s="130"/>
      <c r="L60" s="132"/>
      <c r="M60" s="132"/>
      <c r="P60" s="51">
        <v>0</v>
      </c>
      <c r="Q60" s="51">
        <v>0</v>
      </c>
    </row>
    <row r="61" spans="1:17" ht="18" customHeight="1" thickBot="1">
      <c r="A61" s="130"/>
      <c r="B61" s="130"/>
      <c r="C61" s="130"/>
      <c r="D61" s="412" t="s">
        <v>157</v>
      </c>
      <c r="E61" s="372"/>
      <c r="F61" s="372"/>
      <c r="G61" s="413"/>
      <c r="H61" s="196"/>
      <c r="I61" s="196"/>
      <c r="J61" s="197">
        <f>Q46</f>
        <v>2500</v>
      </c>
      <c r="K61" s="130"/>
      <c r="L61" s="132"/>
      <c r="M61" s="132"/>
      <c r="P61" s="46"/>
      <c r="Q61" s="46"/>
    </row>
    <row r="62" spans="1:17" ht="18" customHeight="1" hidden="1" thickBot="1">
      <c r="A62" s="130"/>
      <c r="B62" s="130"/>
      <c r="C62" s="130"/>
      <c r="D62" s="414" t="s">
        <v>109</v>
      </c>
      <c r="E62" s="415"/>
      <c r="F62" s="415"/>
      <c r="G62" s="416"/>
      <c r="H62" s="196"/>
      <c r="I62" s="196"/>
      <c r="J62" s="197">
        <f>Q50</f>
        <v>0</v>
      </c>
      <c r="K62" s="130"/>
      <c r="L62" s="132"/>
      <c r="M62" s="132"/>
      <c r="P62" s="46"/>
      <c r="Q62" s="46"/>
    </row>
    <row r="63" spans="1:17" ht="18" customHeight="1" thickBot="1">
      <c r="A63" s="130"/>
      <c r="B63" s="130"/>
      <c r="C63" s="130"/>
      <c r="D63" s="420" t="s">
        <v>158</v>
      </c>
      <c r="E63" s="421"/>
      <c r="F63" s="421"/>
      <c r="G63" s="422"/>
      <c r="H63" s="132"/>
      <c r="I63" s="132"/>
      <c r="J63" s="199">
        <f>J60+J61</f>
        <v>113490</v>
      </c>
      <c r="K63" s="130"/>
      <c r="L63" s="132"/>
      <c r="M63" s="132"/>
      <c r="P63" s="46"/>
      <c r="Q63" s="46"/>
    </row>
    <row r="64" spans="1:19" ht="18" customHeight="1" thickBot="1">
      <c r="A64" s="130"/>
      <c r="B64" s="130"/>
      <c r="C64" s="130"/>
      <c r="D64" s="423" t="s">
        <v>118</v>
      </c>
      <c r="E64" s="424"/>
      <c r="F64" s="424"/>
      <c r="G64" s="425"/>
      <c r="H64" s="196"/>
      <c r="I64" s="196"/>
      <c r="J64" s="198">
        <f>R69</f>
        <v>24000</v>
      </c>
      <c r="K64" s="130"/>
      <c r="L64" s="132"/>
      <c r="M64" s="132"/>
      <c r="O64" s="15" t="s">
        <v>63</v>
      </c>
      <c r="P64" s="46">
        <f>SUM(P59:P61)</f>
        <v>50900</v>
      </c>
      <c r="Q64" s="46">
        <f>SUM(Q59:Q61)</f>
        <v>60090</v>
      </c>
      <c r="R64" s="38">
        <f>SUM(P64:Q64)</f>
        <v>110990</v>
      </c>
      <c r="S64" s="38">
        <f>R64</f>
        <v>110990</v>
      </c>
    </row>
    <row r="65" spans="1:19" ht="18" customHeight="1" thickBot="1">
      <c r="A65" s="130"/>
      <c r="B65" s="130"/>
      <c r="C65" s="130"/>
      <c r="D65" s="417" t="s">
        <v>119</v>
      </c>
      <c r="E65" s="418"/>
      <c r="F65" s="418"/>
      <c r="G65" s="419"/>
      <c r="H65" s="132"/>
      <c r="I65" s="132"/>
      <c r="J65" s="199">
        <f>J63-J64</f>
        <v>89490</v>
      </c>
      <c r="K65" s="130"/>
      <c r="L65" s="132"/>
      <c r="M65" s="132"/>
      <c r="O65" s="18" t="s">
        <v>110</v>
      </c>
      <c r="P65" s="38"/>
      <c r="Q65" s="38">
        <f>H51</f>
        <v>0</v>
      </c>
      <c r="R65" s="38">
        <f>I51</f>
        <v>0</v>
      </c>
      <c r="S65" s="38">
        <f>SUM(Q65:R65)</f>
        <v>0</v>
      </c>
    </row>
    <row r="66" spans="1:17" ht="19.5" customHeight="1" hidden="1" thickBot="1">
      <c r="A66" s="130"/>
      <c r="B66" s="130"/>
      <c r="C66" s="130"/>
      <c r="D66" s="433" t="s">
        <v>48</v>
      </c>
      <c r="E66" s="434"/>
      <c r="F66" s="291"/>
      <c r="G66" s="277"/>
      <c r="H66" s="132"/>
      <c r="I66" s="132"/>
      <c r="J66" s="199">
        <f>R74</f>
        <v>0</v>
      </c>
      <c r="K66" s="130"/>
      <c r="L66" s="132"/>
      <c r="M66" s="132"/>
      <c r="P66" s="38"/>
      <c r="Q66" s="38"/>
    </row>
    <row r="67" spans="1:19" ht="12">
      <c r="A67" s="166"/>
      <c r="B67" s="166"/>
      <c r="C67" s="166"/>
      <c r="D67" s="132"/>
      <c r="E67" s="132"/>
      <c r="F67" s="132"/>
      <c r="G67" s="132"/>
      <c r="H67" s="132"/>
      <c r="I67" s="132"/>
      <c r="J67" s="166"/>
      <c r="K67" s="166"/>
      <c r="L67" s="132"/>
      <c r="M67" s="132"/>
      <c r="O67" s="18" t="s">
        <v>43</v>
      </c>
      <c r="S67" s="38">
        <f>J61</f>
        <v>2500</v>
      </c>
    </row>
    <row r="68" spans="1:19" ht="12.75" thickBot="1">
      <c r="A68" s="166"/>
      <c r="B68" s="166"/>
      <c r="C68" s="166"/>
      <c r="D68" s="136"/>
      <c r="E68" s="132"/>
      <c r="F68" s="132"/>
      <c r="G68" s="132"/>
      <c r="H68" s="132"/>
      <c r="I68" s="132"/>
      <c r="J68" s="166"/>
      <c r="K68" s="166"/>
      <c r="L68" s="132"/>
      <c r="M68" s="132"/>
      <c r="S68" s="38">
        <f>S64-S65+S67</f>
        <v>113490</v>
      </c>
    </row>
    <row r="69" spans="1:18" ht="19.5" customHeight="1" thickBot="1">
      <c r="A69" s="130"/>
      <c r="B69" s="130"/>
      <c r="C69" s="130"/>
      <c r="D69" s="430" t="s">
        <v>79</v>
      </c>
      <c r="E69" s="431"/>
      <c r="F69" s="431"/>
      <c r="G69" s="431"/>
      <c r="H69" s="431"/>
      <c r="I69" s="432"/>
      <c r="J69" s="199">
        <f>ROUND(IF($J$65&lt;=Eckwerte!$D$10,Eckwerte!$D$8,IF($J$65&gt;=Eckwerte!$D$9,Eckwerte!$D$7,((Eckwerte!D7-Eckwerte!D8)/(Eckwerte!D9-Eckwerte!D10)*($J$65-Eckwerte!D10)+Eckwerte!D8))),2)</f>
        <v>5.47</v>
      </c>
      <c r="K69" s="130"/>
      <c r="L69" s="132"/>
      <c r="M69" s="132"/>
      <c r="O69" s="18" t="s">
        <v>10</v>
      </c>
      <c r="P69" s="38"/>
      <c r="Q69" s="38"/>
      <c r="R69" s="38">
        <f>SUM(H53:I56)</f>
        <v>24000</v>
      </c>
    </row>
    <row r="70" spans="1:18" ht="19.5" customHeight="1" thickBot="1">
      <c r="A70" s="130"/>
      <c r="B70" s="130"/>
      <c r="C70" s="130"/>
      <c r="D70" s="133" t="s">
        <v>49</v>
      </c>
      <c r="E70" s="200"/>
      <c r="F70" s="200"/>
      <c r="G70" s="200"/>
      <c r="H70" s="200"/>
      <c r="I70" s="201"/>
      <c r="J70" s="199">
        <f>Eckwerte!D7</f>
        <v>12.55</v>
      </c>
      <c r="K70" s="130"/>
      <c r="L70" s="132"/>
      <c r="M70" s="132"/>
      <c r="P70" s="38"/>
      <c r="Q70" s="38"/>
      <c r="R70" s="38">
        <f>S68-R69</f>
        <v>89490</v>
      </c>
    </row>
    <row r="71" spans="1:13" ht="19.5" customHeight="1" hidden="1" thickBot="1">
      <c r="A71" s="130"/>
      <c r="B71" s="130"/>
      <c r="C71" s="130"/>
      <c r="D71" s="133" t="s">
        <v>57</v>
      </c>
      <c r="E71" s="200"/>
      <c r="F71" s="200" t="s">
        <v>68</v>
      </c>
      <c r="G71" s="200"/>
      <c r="H71" s="200"/>
      <c r="I71" s="201"/>
      <c r="J71" s="199">
        <f>J70-J69</f>
        <v>7.080000000000001</v>
      </c>
      <c r="K71" s="130"/>
      <c r="L71" s="132"/>
      <c r="M71" s="132"/>
    </row>
    <row r="72" spans="1:18" ht="19.5" customHeight="1" thickBot="1">
      <c r="A72" s="130"/>
      <c r="B72" s="130"/>
      <c r="C72" s="130"/>
      <c r="D72" s="225" t="s">
        <v>114</v>
      </c>
      <c r="E72" s="200"/>
      <c r="F72" s="200"/>
      <c r="G72" s="200"/>
      <c r="H72" s="200"/>
      <c r="I72" s="201"/>
      <c r="J72" s="202">
        <f>I18</f>
        <v>1</v>
      </c>
      <c r="K72" s="130"/>
      <c r="L72" s="132"/>
      <c r="M72" s="132"/>
      <c r="R72" s="38"/>
    </row>
    <row r="73" spans="1:18" ht="19.5" customHeight="1" thickBot="1">
      <c r="A73" s="130"/>
      <c r="B73" s="130"/>
      <c r="C73" s="130"/>
      <c r="D73" s="430" t="s">
        <v>80</v>
      </c>
      <c r="E73" s="431"/>
      <c r="F73" s="431"/>
      <c r="G73" s="431"/>
      <c r="H73" s="431"/>
      <c r="I73" s="432"/>
      <c r="J73" s="199">
        <f>ROUND((J87)*20,0)/20</f>
        <v>5.45</v>
      </c>
      <c r="K73" s="130"/>
      <c r="L73" s="132"/>
      <c r="M73" s="132"/>
      <c r="R73" s="38"/>
    </row>
    <row r="74" spans="1:13" ht="19.5" customHeight="1" thickBot="1">
      <c r="A74" s="130"/>
      <c r="B74" s="130"/>
      <c r="C74" s="130"/>
      <c r="D74" s="430" t="s">
        <v>36</v>
      </c>
      <c r="E74" s="431"/>
      <c r="F74" s="431"/>
      <c r="G74" s="431"/>
      <c r="H74" s="431"/>
      <c r="I74" s="432"/>
      <c r="J74" s="199">
        <f>IF(SUM(I15:I17)="","",SUM(I15:I17)*H22)</f>
        <v>10.5</v>
      </c>
      <c r="K74" s="130"/>
      <c r="L74" s="132"/>
      <c r="M74" s="132"/>
    </row>
    <row r="75" spans="1:13" ht="19.5" customHeight="1" thickBot="1">
      <c r="A75" s="130"/>
      <c r="B75" s="130"/>
      <c r="C75" s="130"/>
      <c r="D75" s="430" t="s">
        <v>92</v>
      </c>
      <c r="E75" s="431"/>
      <c r="F75" s="431"/>
      <c r="G75" s="431"/>
      <c r="H75" s="431"/>
      <c r="I75" s="432"/>
      <c r="J75" s="199">
        <f>SUM(J73:J74)</f>
        <v>15.95</v>
      </c>
      <c r="K75" s="130"/>
      <c r="L75" s="132"/>
      <c r="M75" s="132"/>
    </row>
    <row r="76" spans="1:13" ht="19.5" customHeight="1">
      <c r="A76" s="130"/>
      <c r="B76" s="130"/>
      <c r="C76" s="130"/>
      <c r="D76" s="166"/>
      <c r="E76" s="166"/>
      <c r="F76" s="130"/>
      <c r="G76" s="130"/>
      <c r="H76" s="166"/>
      <c r="I76" s="166"/>
      <c r="J76" s="130"/>
      <c r="K76" s="130"/>
      <c r="L76" s="132"/>
      <c r="M76" s="132"/>
    </row>
    <row r="77" spans="1:13" ht="19.5" customHeight="1">
      <c r="A77" s="130"/>
      <c r="B77" s="130"/>
      <c r="C77" s="130"/>
      <c r="D77" s="203" t="s">
        <v>86</v>
      </c>
      <c r="E77" s="166"/>
      <c r="F77" s="130"/>
      <c r="G77" s="130"/>
      <c r="H77" s="166"/>
      <c r="I77" s="166"/>
      <c r="J77" s="130"/>
      <c r="K77" s="130"/>
      <c r="L77" s="132"/>
      <c r="M77" s="132"/>
    </row>
    <row r="78" spans="1:13" ht="63.75" customHeight="1">
      <c r="A78" s="130"/>
      <c r="B78" s="130"/>
      <c r="C78" s="130"/>
      <c r="D78" s="166"/>
      <c r="E78" s="166"/>
      <c r="F78" s="130"/>
      <c r="G78" s="130"/>
      <c r="H78" s="130"/>
      <c r="I78" s="130"/>
      <c r="J78" s="130"/>
      <c r="K78" s="130"/>
      <c r="L78" s="132"/>
      <c r="M78" s="132"/>
    </row>
    <row r="79" ht="12" hidden="1"/>
    <row r="80" ht="12" hidden="1"/>
    <row r="81" ht="12" hidden="1"/>
    <row r="82" spans="8:9" ht="12" hidden="1">
      <c r="H82">
        <f>(Eckwerte!D7-Eckwerte!D8)/(Eckwerte!D9-Eckwerte!D10)*(Datenerfassung!J65-Eckwerte!D10)+Eckwerte!D8</f>
        <v>5.468867521367521</v>
      </c>
      <c r="I82" s="100" t="s">
        <v>64</v>
      </c>
    </row>
    <row r="83" ht="12" hidden="1">
      <c r="H83">
        <f>E92</f>
        <v>5.468867521367521</v>
      </c>
    </row>
    <row r="84" spans="3:9" ht="12" hidden="1">
      <c r="C84" s="18" t="s">
        <v>100</v>
      </c>
      <c r="H84">
        <f>IF(H83&lt;=Eckwerte!D8,(Eckwerte!D8),IF(H83&gt;=Eckwerte!D7,(Eckwerte!D7),(Datenerfassung!H83)))</f>
        <v>5.468867521367521</v>
      </c>
      <c r="I84">
        <f>H85</f>
        <v>5.468867521367521</v>
      </c>
    </row>
    <row r="85" spans="3:8" ht="12.75" hidden="1">
      <c r="C85">
        <v>2</v>
      </c>
      <c r="D85" s="129">
        <f>IF(((Eckwerte!$D$7-Eckwerte!$D$8)/(Eckwerte!$D$9-Eckwerte!$D$10)*(Datenerfassung!$J$63-Eckwerte!$D$10)+Eckwerte!$D$8)&lt;=Eckwerte!$D$8,Eckwerte!$D$8,IF(((Eckwerte!$D$7-Eckwerte!$D$8)/(Eckwerte!$D$9-Eckwerte!$D$10)*(Datenerfassung!$J$63-Eckwerte!$D$10)+Eckwerte!$D$8)&gt;=Eckwerte!$D$7,Eckwerte!$D$7,((Eckwerte!$D$7-Eckwerte!$D$8)/(Eckwerte!$D$9-Eckwerte!$D$10)*(Datenerfassung!$J$63-Eckwerte!$D$10)+Eckwerte!$D$8)))</f>
        <v>7.879123931623932</v>
      </c>
      <c r="E85">
        <f>IF(C85=$H$13,D85,0)</f>
        <v>0</v>
      </c>
      <c r="H85">
        <f>IF(H84=Eckwerte!D8,Eckwerte!D8,H84)</f>
        <v>5.468867521367521</v>
      </c>
    </row>
    <row r="86" spans="3:9" ht="12.75" hidden="1">
      <c r="C86">
        <v>3</v>
      </c>
      <c r="D86" s="129">
        <f>IF(((Eckwerte!$D$7-Eckwerte!$D$8)/(Eckwerte!$D$9-Eckwerte!$D$10)*(Datenerfassung!$J$63-C86*F53-Eckwerte!$D$10)+Eckwerte!$D$8)&lt;=Eckwerte!$D$8,Eckwerte!$D$8,IF(((Eckwerte!$D$7-Eckwerte!$D$8)/(Eckwerte!$D$9-Eckwerte!$D$10)*(Datenerfassung!$J$63-C86*F53-Eckwerte!$D$10)+Eckwerte!$D$8)&gt;=Eckwerte!$D$7,Eckwerte!$D$7,((Eckwerte!$D$7-Eckwerte!$D$8)/(Eckwerte!$D$9-Eckwerte!$D$10)*(Datenerfassung!$J$63-C86*F53-Eckwerte!$D$10)+Eckwerte!$D$8)))</f>
        <v>6.734252136752137</v>
      </c>
      <c r="E86">
        <f aca="true" t="shared" si="0" ref="E86:E91">IF(C86=$H$13,D86,0)</f>
        <v>0</v>
      </c>
      <c r="H86">
        <f>(H85*$H$18)</f>
        <v>5.468867521367521</v>
      </c>
      <c r="I86">
        <f>(I84*$H$18)</f>
        <v>5.468867521367521</v>
      </c>
    </row>
    <row r="87" spans="3:10" ht="12.75" hidden="1">
      <c r="C87">
        <v>4</v>
      </c>
      <c r="D87" s="129">
        <f>IF(((Eckwerte!$D$7-Eckwerte!$D$8)/(Eckwerte!$D$9-Eckwerte!$D$10)*(Datenerfassung!$J$63-C87*F54-Eckwerte!$D$10)+Eckwerte!$D$8)&lt;=Eckwerte!$D$8,Eckwerte!$D$8,IF(((Eckwerte!$D$7-Eckwerte!$D$8)/(Eckwerte!$D$9-Eckwerte!$D$10)*(Datenerfassung!$J$63-C87*F54-Eckwerte!$D$10)+Eckwerte!$D$8)&gt;=Eckwerte!$D$7,Eckwerte!$D$7,((Eckwerte!$D$7-Eckwerte!$D$8)/(Eckwerte!$D$9-Eckwerte!$D$10)*(Datenerfassung!$J$63-C87*F54-Eckwerte!$D$10)+Eckwerte!$D$8)))</f>
        <v>5.468867521367521</v>
      </c>
      <c r="E87">
        <f t="shared" si="0"/>
        <v>5.468867521367521</v>
      </c>
      <c r="J87">
        <f>J69*J72</f>
        <v>5.47</v>
      </c>
    </row>
    <row r="88" spans="3:8" ht="12.75" hidden="1">
      <c r="C88">
        <v>5</v>
      </c>
      <c r="D88" s="129">
        <f>IF(((Eckwerte!$D$7-Eckwerte!$D$8)/(Eckwerte!$D$9-Eckwerte!$D$10)*(Datenerfassung!$J$63-C88*F55-Eckwerte!$D$10)+Eckwerte!$D$8)&lt;=Eckwerte!$D$8,Eckwerte!$D$8,IF(((Eckwerte!$D$7-Eckwerte!$D$8)/(Eckwerte!$D$9-Eckwerte!$D$10)*(Datenerfassung!$J$63-C88*F55-Eckwerte!$D$10)+Eckwerte!$D$8)&gt;=Eckwerte!$D$7,Eckwerte!$D$7,((Eckwerte!$D$7-Eckwerte!$D$8)/(Eckwerte!$D$9-Eckwerte!$D$10)*(Datenerfassung!$J$63-C88*F55-Eckwerte!$D$10)+Eckwerte!$D$8)))</f>
        <v>4.364166666666667</v>
      </c>
      <c r="E88">
        <f t="shared" si="0"/>
        <v>0</v>
      </c>
      <c r="H88">
        <f>H87/4</f>
        <v>0</v>
      </c>
    </row>
    <row r="89" spans="3:5" ht="12.75" hidden="1">
      <c r="C89">
        <v>6</v>
      </c>
      <c r="D89" s="129">
        <f>IF(((Eckwerte!$D$7-Eckwerte!$D$8)/(Eckwerte!$D$9-Eckwerte!$D$10)*(Datenerfassung!$J$63-C89*$F$56-Eckwerte!$D$10)+Eckwerte!$D$8)&lt;=Eckwerte!$D$8,Eckwerte!$D$8,IF(((Eckwerte!$D$7-Eckwerte!$D$8)/(Eckwerte!$D$9-Eckwerte!$D$10)*(Datenerfassung!$J$63-C89*$F$56-Eckwerte!$D$10)+Eckwerte!$D$8)&gt;=Eckwerte!$D$7,Eckwerte!$D$7,((Eckwerte!$D$7-Eckwerte!$D$8)/(Eckwerte!$D$9-Eckwerte!$D$10)*(Datenerfassung!$J$63-C89*$F$56-Eckwerte!$D$10)+Eckwerte!$D$8)))</f>
        <v>3.2393803418803424</v>
      </c>
      <c r="E89">
        <f t="shared" si="0"/>
        <v>0</v>
      </c>
    </row>
    <row r="90" spans="3:5" ht="12.75" hidden="1">
      <c r="C90">
        <v>7</v>
      </c>
      <c r="D90" s="129">
        <f>IF(((Eckwerte!$D$7-Eckwerte!$D$8)/(Eckwerte!$D$9-Eckwerte!$D$10)*(Datenerfassung!$J$63-C90*$F$56-Eckwerte!$D$10)+Eckwerte!$D$8)&lt;=Eckwerte!$D$8,Eckwerte!$D$8,IF(((Eckwerte!$D$7-Eckwerte!$D$8)/(Eckwerte!$D$9-Eckwerte!$D$10)*(Datenerfassung!$J$63-C90*$F$56-Eckwerte!$D$10)+Eckwerte!$D$8)&gt;=Eckwerte!$D$7,Eckwerte!$D$7,((Eckwerte!$D$7-Eckwerte!$D$8)/(Eckwerte!$D$9-Eckwerte!$D$10)*(Datenerfassung!$J$63-C90*$F$56-Eckwerte!$D$10)+Eckwerte!$D$8)))</f>
        <v>2.4660897435897438</v>
      </c>
      <c r="E90">
        <f t="shared" si="0"/>
        <v>0</v>
      </c>
    </row>
    <row r="91" spans="3:5" ht="12.75" hidden="1">
      <c r="C91">
        <v>8</v>
      </c>
      <c r="D91" s="129">
        <f>IF(((Eckwerte!$D$7-Eckwerte!$D$8)/(Eckwerte!$D$9-Eckwerte!$D$10)*(Datenerfassung!$J$63-C91*$F$56-Eckwerte!$D$10)+Eckwerte!$D$8)&lt;=Eckwerte!$D$8,Eckwerte!$D$8,IF(((Eckwerte!$D$7-Eckwerte!$D$8)/(Eckwerte!$D$9-Eckwerte!$D$10)*(Datenerfassung!$J$63-C91*$F$56-Eckwerte!$D$10)+Eckwerte!$D$8)&gt;=Eckwerte!$D$7,Eckwerte!$D$7,((Eckwerte!$D$7-Eckwerte!$D$8)/(Eckwerte!$D$9-Eckwerte!$D$10)*(Datenerfassung!$J$63-C91*$F$56-Eckwerte!$D$10)+Eckwerte!$D$8)))</f>
        <v>1.6927991452991455</v>
      </c>
      <c r="E91">
        <f t="shared" si="0"/>
        <v>0</v>
      </c>
    </row>
    <row r="92" ht="12" hidden="1">
      <c r="E92">
        <f>SUM(E85:E91)</f>
        <v>5.468867521367521</v>
      </c>
    </row>
    <row r="93" ht="12" hidden="1"/>
    <row r="94" ht="12" hidden="1"/>
    <row r="95" ht="12" hidden="1"/>
    <row r="96" ht="12" hidden="1"/>
    <row r="97" ht="12" hidden="1"/>
  </sheetData>
  <sheetProtection password="CCBC" sheet="1" selectLockedCells="1"/>
  <mergeCells count="52">
    <mergeCell ref="D48:G48"/>
    <mergeCell ref="F54:G54"/>
    <mergeCell ref="D46:G46"/>
    <mergeCell ref="D28:G28"/>
    <mergeCell ref="D29:G29"/>
    <mergeCell ref="D51:E51"/>
    <mergeCell ref="C23:C25"/>
    <mergeCell ref="B11:C21"/>
    <mergeCell ref="D69:I69"/>
    <mergeCell ref="H54:I54"/>
    <mergeCell ref="D19:E19"/>
    <mergeCell ref="D15:E15"/>
    <mergeCell ref="D18:E18"/>
    <mergeCell ref="H55:I55"/>
    <mergeCell ref="D16:E16"/>
    <mergeCell ref="D50:F50"/>
    <mergeCell ref="H57:I57"/>
    <mergeCell ref="D75:I75"/>
    <mergeCell ref="D74:I74"/>
    <mergeCell ref="D73:I73"/>
    <mergeCell ref="D66:E66"/>
    <mergeCell ref="D13:G13"/>
    <mergeCell ref="D14:G14"/>
    <mergeCell ref="D26:G26"/>
    <mergeCell ref="F56:G56"/>
    <mergeCell ref="D60:G60"/>
    <mergeCell ref="D61:G61"/>
    <mergeCell ref="D62:G62"/>
    <mergeCell ref="D65:G65"/>
    <mergeCell ref="D63:G63"/>
    <mergeCell ref="D64:G64"/>
    <mergeCell ref="D57:E57"/>
    <mergeCell ref="K8:L8"/>
    <mergeCell ref="K9:L9"/>
    <mergeCell ref="D17:E17"/>
    <mergeCell ref="H8:I8"/>
    <mergeCell ref="H9:I9"/>
    <mergeCell ref="D45:G45"/>
    <mergeCell ref="D11:E12"/>
    <mergeCell ref="D43:G43"/>
    <mergeCell ref="D24:G25"/>
    <mergeCell ref="F8:G8"/>
    <mergeCell ref="F9:G9"/>
    <mergeCell ref="B26:B29"/>
    <mergeCell ref="D31:G31"/>
    <mergeCell ref="H56:I56"/>
    <mergeCell ref="D30:G30"/>
    <mergeCell ref="D35:G35"/>
    <mergeCell ref="H53:I53"/>
    <mergeCell ref="F55:G55"/>
    <mergeCell ref="F53:G53"/>
    <mergeCell ref="B23:B25"/>
  </mergeCells>
  <conditionalFormatting sqref="H13">
    <cfRule type="cellIs" priority="8" dxfId="0" operator="lessThan" stopIfTrue="1">
      <formula>2</formula>
    </cfRule>
  </conditionalFormatting>
  <conditionalFormatting sqref="H18">
    <cfRule type="cellIs" priority="7" dxfId="0" operator="lessThan" stopIfTrue="1">
      <formula>1</formula>
    </cfRule>
  </conditionalFormatting>
  <conditionalFormatting sqref="H19">
    <cfRule type="cellIs" priority="4" dxfId="0" operator="equal" stopIfTrue="1">
      <formula>0</formula>
    </cfRule>
    <cfRule type="cellIs" priority="6" dxfId="0" operator="lessThan" stopIfTrue="1">
      <formula>0</formula>
    </cfRule>
  </conditionalFormatting>
  <conditionalFormatting sqref="I19">
    <cfRule type="cellIs" priority="3" dxfId="0" operator="equal" stopIfTrue="1">
      <formula>0</formula>
    </cfRule>
    <cfRule type="cellIs" priority="5" dxfId="0" operator="lessThan" stopIfTrue="1">
      <formula>0</formula>
    </cfRule>
  </conditionalFormatting>
  <conditionalFormatting sqref="J69">
    <cfRule type="containsText" priority="1" dxfId="0" operator="containsText" stopIfTrue="1" text="Familiengrösse">
      <formula>NOT(ISERROR(SEARCH("Familiengrösse",J69)))</formula>
    </cfRule>
  </conditionalFormatting>
  <printOptions/>
  <pageMargins left="0.1968503937007874" right="0.1968503937007874" top="0.5118110236220472" bottom="0.4330708661417323" header="0.5118110236220472" footer="0.5118110236220472"/>
  <pageSetup fitToHeight="1" fitToWidth="1" horizontalDpi="300" verticalDpi="300" orientation="portrait" paperSize="9" scale="42" r:id="rId2"/>
  <ignoredErrors>
    <ignoredError sqref="I15:I17 H22 I55 I60 J70:J72 J74:J75 E8 I53 I54 I57 I56" unlocked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C12"/>
  <sheetViews>
    <sheetView showGridLines="0" showRowColHeaders="0" showZeros="0" showOutlineSymbols="0" zoomScalePageLayoutView="0" workbookViewId="0" topLeftCell="A1">
      <selection activeCell="B4" sqref="B4"/>
    </sheetView>
  </sheetViews>
  <sheetFormatPr defaultColWidth="11.421875" defaultRowHeight="12.75"/>
  <cols>
    <col min="2" max="2" width="80.28125" style="0" customWidth="1"/>
  </cols>
  <sheetData>
    <row r="1" spans="1:3" ht="43.5" customHeight="1" thickBot="1">
      <c r="A1" s="71"/>
      <c r="B1" s="71"/>
      <c r="C1" s="71"/>
    </row>
    <row r="2" spans="1:3" ht="25.5" customHeight="1" thickBot="1">
      <c r="A2" s="71"/>
      <c r="B2" s="12" t="s">
        <v>20</v>
      </c>
      <c r="C2" s="71"/>
    </row>
    <row r="3" spans="1:3" s="18" customFormat="1" ht="27.75" customHeight="1" thickBot="1">
      <c r="A3" s="74"/>
      <c r="B3" s="17" t="s">
        <v>28</v>
      </c>
      <c r="C3" s="74"/>
    </row>
    <row r="4" spans="1:3" s="18" customFormat="1" ht="27.75" customHeight="1" thickBot="1">
      <c r="A4" s="74"/>
      <c r="B4" s="19"/>
      <c r="C4" s="74"/>
    </row>
    <row r="5" spans="1:3" s="18" customFormat="1" ht="27.75" customHeight="1" thickBot="1">
      <c r="A5" s="74"/>
      <c r="B5" s="17"/>
      <c r="C5" s="74"/>
    </row>
    <row r="6" spans="1:3" s="18" customFormat="1" ht="27.75" customHeight="1" thickBot="1">
      <c r="A6" s="74"/>
      <c r="B6" s="19"/>
      <c r="C6" s="74"/>
    </row>
    <row r="7" spans="1:3" s="18" customFormat="1" ht="27.75" customHeight="1" thickBot="1">
      <c r="A7" s="74"/>
      <c r="B7" s="19"/>
      <c r="C7" s="74"/>
    </row>
    <row r="8" spans="1:3" s="18" customFormat="1" ht="27.75" customHeight="1" thickBot="1">
      <c r="A8" s="74"/>
      <c r="B8" s="19"/>
      <c r="C8" s="74"/>
    </row>
    <row r="9" spans="1:3" ht="25.5" customHeight="1" thickBot="1">
      <c r="A9" s="71"/>
      <c r="B9" s="71"/>
      <c r="C9" s="71"/>
    </row>
    <row r="10" spans="1:3" ht="25.5" customHeight="1" thickBot="1">
      <c r="A10" s="71"/>
      <c r="B10" s="12" t="s">
        <v>60</v>
      </c>
      <c r="C10" s="71"/>
    </row>
    <row r="11" spans="1:3" ht="25.5" customHeight="1" thickBot="1">
      <c r="A11" s="71"/>
      <c r="B11" s="92"/>
      <c r="C11" s="71"/>
    </row>
    <row r="12" spans="1:3" ht="78.75" customHeight="1">
      <c r="A12" s="71"/>
      <c r="B12" s="71"/>
      <c r="C12" s="71"/>
    </row>
  </sheetData>
  <sheetProtection sheet="1" selectLockedCells="1"/>
  <printOptions/>
  <pageMargins left="0.33" right="0.2" top="0.72" bottom="1" header="0.43" footer="0.4921259845"/>
  <pageSetup horizontalDpi="300" verticalDpi="300" orientation="portrait" paperSize="9" scale="9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B1:L61"/>
  <sheetViews>
    <sheetView showGridLines="0" showRowColHeaders="0" showZeros="0" showOutlineSymbols="0" zoomScale="130" zoomScaleNormal="130" zoomScalePageLayoutView="0" workbookViewId="0" topLeftCell="A1">
      <selection activeCell="B36" sqref="B36:I36"/>
    </sheetView>
  </sheetViews>
  <sheetFormatPr defaultColWidth="11.421875" defaultRowHeight="12.75"/>
  <cols>
    <col min="1" max="1" width="4.28125" style="233" customWidth="1"/>
    <col min="2" max="2" width="2.7109375" style="233" customWidth="1"/>
    <col min="3" max="3" width="9.7109375" style="233" customWidth="1"/>
    <col min="4" max="4" width="11.421875" style="233" customWidth="1"/>
    <col min="5" max="5" width="7.00390625" style="233" customWidth="1"/>
    <col min="6" max="6" width="11.140625" style="233" customWidth="1"/>
    <col min="7" max="7" width="14.421875" style="233" bestFit="1" customWidth="1"/>
    <col min="8" max="8" width="4.7109375" style="233" customWidth="1"/>
    <col min="9" max="9" width="13.7109375" style="233" customWidth="1"/>
    <col min="10" max="10" width="4.00390625" style="233" customWidth="1"/>
    <col min="11" max="11" width="5.8515625" style="233" hidden="1" customWidth="1"/>
    <col min="12" max="12" width="15.57421875" style="233" customWidth="1"/>
    <col min="13" max="16384" width="11.421875" style="233" customWidth="1"/>
  </cols>
  <sheetData>
    <row r="1" ht="14.25" customHeight="1">
      <c r="B1" s="232" t="str">
        <f>IF(Adresse!C7="","",Adresse!C7)</f>
        <v>Tagesschule Muster</v>
      </c>
    </row>
    <row r="2" ht="14.25" customHeight="1">
      <c r="B2" s="232" t="str">
        <f>IF(Adresse!C8="","",Adresse!C8)</f>
        <v>Finkenrain 12</v>
      </c>
    </row>
    <row r="3" ht="14.25" customHeight="1">
      <c r="B3" s="234" t="str">
        <f>IF(Adresse!C9="","",Adresse!C9)</f>
        <v>3013 Bern</v>
      </c>
    </row>
    <row r="4" ht="14.25" customHeight="1"/>
    <row r="5" ht="14.25" customHeight="1">
      <c r="B5" s="235" t="s">
        <v>69</v>
      </c>
    </row>
    <row r="6" spans="2:8" ht="14.25" customHeight="1">
      <c r="B6" s="233" t="str">
        <f>IF(Adresse!C17="","",Adresse!C17)</f>
        <v>Elisabeth Adam</v>
      </c>
      <c r="H6" s="236"/>
    </row>
    <row r="7" spans="2:8" ht="14.25" customHeight="1">
      <c r="B7" s="233" t="str">
        <f>IF(Adresse!C18="","",Adresse!C18)</f>
        <v>Finkenrain 12</v>
      </c>
      <c r="H7" s="236"/>
    </row>
    <row r="8" spans="2:8" ht="14.25" customHeight="1">
      <c r="B8" s="233" t="str">
        <f>IF(Adresse!C19="","",Adresse!C19)</f>
        <v>3013 Bern</v>
      </c>
      <c r="H8" s="236" t="str">
        <f>Datenerfassung!E$3</f>
        <v>Familie</v>
      </c>
    </row>
    <row r="9" spans="2:8" ht="14.25" customHeight="1">
      <c r="B9" s="233" t="str">
        <f>IF(Adresse!C20="","",Adresse!C20)</f>
        <v>031 000 00 00</v>
      </c>
      <c r="H9" s="236" t="str">
        <f>Datenerfassung!E$8</f>
        <v>Fränzi Muster</v>
      </c>
    </row>
    <row r="10" spans="2:12" ht="12.75">
      <c r="B10" s="233" t="str">
        <f>IF(Adresse!C21="","",Adresse!C21)</f>
        <v>xx@xx</v>
      </c>
      <c r="H10" s="236" t="str">
        <f>Datenerfassung!H$8</f>
        <v>Mustergasse 11</v>
      </c>
      <c r="K10" s="237"/>
      <c r="L10" s="237"/>
    </row>
    <row r="11" spans="2:8" ht="14.25" customHeight="1">
      <c r="B11" s="233">
        <f>IF(Adresse!C22="","",Adresse!C22)</f>
      </c>
      <c r="H11" s="236" t="str">
        <f>Datenerfassung!K$8</f>
        <v>3600 Thun</v>
      </c>
    </row>
    <row r="12" ht="14.25" customHeight="1"/>
    <row r="13" ht="14.25" customHeight="1"/>
    <row r="14" ht="14.25" customHeight="1"/>
    <row r="15" ht="12.75"/>
    <row r="16" ht="12.75"/>
    <row r="17" spans="2:12" s="241" customFormat="1" ht="24" customHeight="1">
      <c r="B17" s="238" t="s">
        <v>32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40">
        <f ca="1">TODAY()</f>
        <v>44923</v>
      </c>
    </row>
    <row r="18" spans="2:12" ht="12.75">
      <c r="B18" s="462"/>
      <c r="C18" s="462"/>
      <c r="D18" s="294"/>
      <c r="E18" s="462"/>
      <c r="F18" s="462"/>
      <c r="G18" s="295"/>
      <c r="H18" s="296"/>
      <c r="I18" s="296"/>
      <c r="J18" s="296"/>
      <c r="K18" s="296"/>
      <c r="L18" s="297"/>
    </row>
    <row r="19" spans="2:12" ht="12.75"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</row>
    <row r="20" spans="2:12" ht="12.75">
      <c r="B20" s="235" t="str">
        <f>"Gebührenabrechnung für "&amp;Datenerfassung!F6&amp;" "&amp;Datenerfassung!E6</f>
        <v>Gebührenabrechnung für  </v>
      </c>
      <c r="C20" s="235"/>
      <c r="D20" s="243"/>
      <c r="E20" s="235"/>
      <c r="F20" s="235"/>
      <c r="G20" s="235"/>
      <c r="H20" s="235"/>
      <c r="I20" s="235"/>
      <c r="J20" s="235"/>
      <c r="K20" s="235"/>
      <c r="L20" s="235"/>
    </row>
    <row r="21" spans="2:12" ht="12.75">
      <c r="B21" s="244" t="s">
        <v>88</v>
      </c>
      <c r="C21" s="235"/>
      <c r="D21" s="242"/>
      <c r="E21" s="242"/>
      <c r="F21" s="242"/>
      <c r="G21" s="243">
        <f>Datenerfassung!H19</f>
        <v>44835</v>
      </c>
      <c r="H21" s="245" t="str">
        <f>IF(G21=0,"","-")</f>
        <v>-</v>
      </c>
      <c r="I21" s="246">
        <f>Datenerfassung!I19</f>
        <v>44842</v>
      </c>
      <c r="J21" s="235"/>
      <c r="K21" s="235"/>
      <c r="L21" s="235"/>
    </row>
    <row r="22" spans="2:12" ht="12.75"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</row>
    <row r="23" spans="2:12" ht="12.75">
      <c r="B23" s="235" t="str">
        <f>Datenerfassung!D22</f>
        <v>Anzahl Schulwochen in Abrechnungsperiode</v>
      </c>
      <c r="C23" s="235"/>
      <c r="D23" s="235"/>
      <c r="E23" s="235"/>
      <c r="F23" s="235"/>
      <c r="G23" s="247">
        <f>Datenerfassung!H22</f>
        <v>1</v>
      </c>
      <c r="H23" s="248"/>
      <c r="I23" s="235"/>
      <c r="J23" s="249"/>
      <c r="K23" s="235"/>
      <c r="L23" s="235"/>
    </row>
    <row r="24" spans="2:12" ht="12" hidden="1">
      <c r="B24" s="235" t="str">
        <f>"Anzahl "&amp;Datenerfassung!D18</f>
        <v>Anzahl Betreuungsstunden pro Woche</v>
      </c>
      <c r="C24" s="235"/>
      <c r="D24" s="235"/>
      <c r="E24" s="235"/>
      <c r="F24" s="235"/>
      <c r="G24" s="250">
        <f>Datenerfassung!H18</f>
        <v>1</v>
      </c>
      <c r="H24" s="248"/>
      <c r="I24" s="235"/>
      <c r="J24" s="249"/>
      <c r="K24" s="235"/>
      <c r="L24" s="235"/>
    </row>
    <row r="25" spans="2:12" ht="12.75">
      <c r="B25" s="244" t="s">
        <v>107</v>
      </c>
      <c r="C25" s="235"/>
      <c r="D25" s="235"/>
      <c r="E25" s="235"/>
      <c r="F25" s="235"/>
      <c r="G25" s="251">
        <f>Datenerfassung!H21</f>
        <v>0</v>
      </c>
      <c r="H25" s="248"/>
      <c r="I25" s="235"/>
      <c r="J25" s="249"/>
      <c r="K25" s="235"/>
      <c r="L25" s="235"/>
    </row>
    <row r="26" spans="2:12" ht="12.75">
      <c r="B26" s="244" t="s">
        <v>101</v>
      </c>
      <c r="C26" s="235"/>
      <c r="D26" s="235"/>
      <c r="E26" s="235"/>
      <c r="F26" s="235"/>
      <c r="G26" s="251">
        <f>Datenerfassung!I18</f>
        <v>1</v>
      </c>
      <c r="H26" s="248"/>
      <c r="I26" s="235"/>
      <c r="J26" s="249"/>
      <c r="K26" s="235"/>
      <c r="L26" s="235"/>
    </row>
    <row r="27" spans="2:12" ht="12.75">
      <c r="B27" s="235" t="s">
        <v>38</v>
      </c>
      <c r="C27" s="235"/>
      <c r="D27" s="235"/>
      <c r="E27" s="235"/>
      <c r="F27" s="235"/>
      <c r="G27" s="252">
        <f>Datenerfassung!J69</f>
        <v>5.47</v>
      </c>
      <c r="H27" s="253"/>
      <c r="J27" s="235"/>
      <c r="K27" s="235"/>
      <c r="L27" s="254"/>
    </row>
    <row r="28" spans="2:12" ht="7.5" customHeight="1">
      <c r="B28" s="235"/>
      <c r="C28" s="235"/>
      <c r="D28" s="235"/>
      <c r="E28" s="235"/>
      <c r="F28" s="235"/>
      <c r="G28" s="248"/>
      <c r="H28" s="248"/>
      <c r="I28" s="252"/>
      <c r="J28" s="235"/>
      <c r="K28" s="235"/>
      <c r="L28" s="254"/>
    </row>
    <row r="29" spans="2:12" ht="12.75">
      <c r="B29" s="232" t="s">
        <v>89</v>
      </c>
      <c r="C29" s="232"/>
      <c r="D29" s="232"/>
      <c r="E29" s="232"/>
      <c r="F29" s="232">
        <f>""</f>
      </c>
      <c r="G29" s="255">
        <f>G26</f>
        <v>1</v>
      </c>
      <c r="H29" s="256" t="s">
        <v>44</v>
      </c>
      <c r="I29" s="257">
        <f>G27</f>
        <v>5.47</v>
      </c>
      <c r="J29" s="232"/>
      <c r="K29" s="232"/>
      <c r="L29" s="258">
        <f>Datenerfassung!J73</f>
        <v>5.45</v>
      </c>
    </row>
    <row r="30" spans="2:12" ht="7.5" customHeight="1">
      <c r="B30" s="232"/>
      <c r="C30" s="232"/>
      <c r="D30" s="232"/>
      <c r="E30" s="232"/>
      <c r="F30" s="232"/>
      <c r="G30" s="256"/>
      <c r="H30" s="256"/>
      <c r="I30" s="232"/>
      <c r="J30" s="232"/>
      <c r="K30" s="232"/>
      <c r="L30" s="258"/>
    </row>
    <row r="31" spans="2:12" ht="13.5" customHeight="1">
      <c r="B31" s="235" t="s">
        <v>42</v>
      </c>
      <c r="C31" s="235"/>
      <c r="D31" s="235"/>
      <c r="E31" s="235"/>
      <c r="F31" s="235"/>
      <c r="G31" s="248">
        <f>IF(Datenerfassung!H16=0,"",Datenerfassung!H16*G23)</f>
        <v>1</v>
      </c>
      <c r="H31" s="248"/>
      <c r="I31" s="252">
        <f>Datenerfassung!F16</f>
        <v>1</v>
      </c>
      <c r="J31" s="259"/>
      <c r="K31" s="260"/>
      <c r="L31" s="261">
        <f>IF(Datenerfassung!I16="","",Datenerfassung!I16*$G$23)</f>
        <v>1</v>
      </c>
    </row>
    <row r="32" spans="2:12" ht="13.5" customHeight="1">
      <c r="B32" s="235" t="s">
        <v>58</v>
      </c>
      <c r="C32" s="235"/>
      <c r="D32" s="235"/>
      <c r="E32" s="235"/>
      <c r="F32" s="235"/>
      <c r="G32" s="248">
        <f>IF(Datenerfassung!H15=0,"",Datenerfassung!H15*G23)</f>
        <v>1</v>
      </c>
      <c r="H32" s="248"/>
      <c r="I32" s="252">
        <f>Datenerfassung!F15</f>
        <v>8</v>
      </c>
      <c r="J32" s="259"/>
      <c r="K32" s="262"/>
      <c r="L32" s="261">
        <f>IF(Datenerfassung!I15="","",Datenerfassung!I15*$G$23)</f>
        <v>8</v>
      </c>
    </row>
    <row r="33" spans="2:12" ht="13.5" customHeight="1">
      <c r="B33" s="235" t="s">
        <v>39</v>
      </c>
      <c r="C33" s="235"/>
      <c r="D33" s="235"/>
      <c r="E33" s="235"/>
      <c r="F33" s="235"/>
      <c r="G33" s="248">
        <f>IF(Datenerfassung!H17=0,"",Datenerfassung!H17*G23)</f>
        <v>1</v>
      </c>
      <c r="H33" s="248"/>
      <c r="I33" s="252">
        <f>Datenerfassung!F17</f>
        <v>1.5</v>
      </c>
      <c r="J33" s="259"/>
      <c r="K33" s="262"/>
      <c r="L33" s="261">
        <f>IF(Datenerfassung!I17="","",Datenerfassung!I17*$G$23)</f>
        <v>1.5</v>
      </c>
    </row>
    <row r="34" spans="2:12" ht="7.5" customHeight="1">
      <c r="B34" s="235"/>
      <c r="C34" s="235"/>
      <c r="D34" s="235"/>
      <c r="E34" s="235"/>
      <c r="F34" s="235"/>
      <c r="G34" s="235"/>
      <c r="H34" s="235"/>
      <c r="I34" s="235"/>
      <c r="J34" s="235"/>
      <c r="K34" s="260"/>
      <c r="L34" s="263"/>
    </row>
    <row r="35" spans="2:12" ht="12.75">
      <c r="B35" s="264" t="s">
        <v>90</v>
      </c>
      <c r="C35" s="242"/>
      <c r="D35" s="242"/>
      <c r="E35" s="242"/>
      <c r="F35" s="242"/>
      <c r="G35" s="242"/>
      <c r="H35" s="242"/>
      <c r="I35" s="242"/>
      <c r="J35" s="242"/>
      <c r="K35" s="235"/>
      <c r="L35" s="265">
        <f>Datenerfassung!J74</f>
        <v>10.5</v>
      </c>
    </row>
    <row r="36" spans="2:12" ht="18" customHeight="1">
      <c r="B36" s="459"/>
      <c r="C36" s="460"/>
      <c r="D36" s="460"/>
      <c r="E36" s="460"/>
      <c r="F36" s="460"/>
      <c r="G36" s="460"/>
      <c r="H36" s="460"/>
      <c r="I36" s="461"/>
      <c r="J36" s="235"/>
      <c r="K36" s="260"/>
      <c r="L36" s="65"/>
    </row>
    <row r="37" spans="2:12" ht="19.5" customHeight="1" thickBot="1">
      <c r="B37" s="266" t="s">
        <v>91</v>
      </c>
      <c r="C37" s="267"/>
      <c r="D37" s="267"/>
      <c r="E37" s="267"/>
      <c r="F37" s="267"/>
      <c r="G37" s="267"/>
      <c r="H37" s="267"/>
      <c r="I37" s="267"/>
      <c r="J37" s="267"/>
      <c r="K37" s="268"/>
      <c r="L37" s="269">
        <f>Datenerfassung!J75+L36</f>
        <v>15.95</v>
      </c>
    </row>
    <row r="38" ht="12.75"/>
    <row r="39" ht="12.75"/>
    <row r="40" ht="12.75"/>
    <row r="41" ht="12.75"/>
    <row r="42" spans="2:12" ht="12.75" hidden="1">
      <c r="B42" s="232" t="s">
        <v>14</v>
      </c>
      <c r="E42" s="270"/>
      <c r="F42" s="270"/>
      <c r="G42" s="270"/>
      <c r="H42" s="270"/>
      <c r="I42" s="270"/>
      <c r="J42" s="270"/>
      <c r="K42" s="270"/>
      <c r="L42" s="270"/>
    </row>
    <row r="43" spans="2:6" ht="17.25" customHeight="1" hidden="1">
      <c r="B43" s="232"/>
      <c r="E43" s="271">
        <f>IF(Datenerfassung!H4="","",Datenerfassung!H4&amp;" "&amp;Datenerfassung!E4)</f>
      </c>
      <c r="F43" s="271"/>
    </row>
    <row r="44" ht="12.75" hidden="1">
      <c r="B44" s="232"/>
    </row>
    <row r="45" ht="12.75" hidden="1">
      <c r="B45" s="232"/>
    </row>
    <row r="46" spans="2:12" ht="12.75" hidden="1">
      <c r="B46" s="232" t="s">
        <v>15</v>
      </c>
      <c r="E46" s="270"/>
      <c r="F46" s="270"/>
      <c r="G46" s="270"/>
      <c r="H46" s="270"/>
      <c r="I46" s="270"/>
      <c r="J46" s="270"/>
      <c r="K46" s="270"/>
      <c r="L46" s="270"/>
    </row>
    <row r="47" spans="2:6" ht="17.25" customHeight="1" hidden="1">
      <c r="B47" s="232"/>
      <c r="E47" s="271">
        <f>IF(Datenerfassung!H5="","",Datenerfassung!H5&amp;" "&amp;Datenerfassung!E5)</f>
      </c>
      <c r="F47" s="271"/>
    </row>
    <row r="48" ht="12.75" hidden="1">
      <c r="B48" s="232"/>
    </row>
    <row r="49" ht="12.75" hidden="1">
      <c r="B49" s="232"/>
    </row>
    <row r="50" ht="12.75" hidden="1">
      <c r="B50" s="232" t="s">
        <v>16</v>
      </c>
    </row>
    <row r="51" spans="2:12" ht="12.75" hidden="1">
      <c r="B51" s="232" t="str">
        <f>Adresse!C7</f>
        <v>Tagesschule Muster</v>
      </c>
      <c r="E51" s="270"/>
      <c r="F51" s="270"/>
      <c r="G51" s="270"/>
      <c r="H51" s="270"/>
      <c r="I51" s="270"/>
      <c r="J51" s="270"/>
      <c r="K51" s="270"/>
      <c r="L51" s="270"/>
    </row>
    <row r="52" spans="2:6" ht="17.25" customHeight="1" hidden="1">
      <c r="B52" s="232"/>
      <c r="E52" s="271" t="str">
        <f>IF(Adresse!C13="","",Adresse!C13)</f>
        <v>Stefanie Küng</v>
      </c>
      <c r="F52" s="271"/>
    </row>
    <row r="53" ht="12.75"/>
    <row r="54" ht="12.75">
      <c r="B54" s="232"/>
    </row>
    <row r="55" ht="12">
      <c r="B55" s="233" t="str">
        <f>IF(Belegetext!B3="","",Belegetext!B3)</f>
        <v>Zahlungsbedingungen: zahlbar innert 30 Tagen</v>
      </c>
    </row>
    <row r="56" ht="12">
      <c r="B56" s="233">
        <f>IF(Belegetext!B4="","",Belegetext!B4)</f>
      </c>
    </row>
    <row r="57" ht="12">
      <c r="B57" s="233">
        <f>IF(Belegetext!B5="","",Belegetext!B5)</f>
      </c>
    </row>
    <row r="58" ht="12">
      <c r="B58" s="233">
        <f>IF(Belegetext!B6="","",Belegetext!B6)</f>
      </c>
    </row>
    <row r="59" ht="12">
      <c r="B59" s="233">
        <f>IF(Belegetext!B7="","",Belegetext!B7)</f>
      </c>
    </row>
    <row r="60" ht="12">
      <c r="B60" s="233">
        <f>IF(Belegetext!B8="","",Belegetext!B8)</f>
      </c>
    </row>
    <row r="61" ht="12">
      <c r="B61" s="233">
        <f>Belegetext!B11</f>
        <v>0</v>
      </c>
    </row>
  </sheetData>
  <sheetProtection password="CCBC" sheet="1" selectLockedCells="1"/>
  <mergeCells count="3">
    <mergeCell ref="B36:I36"/>
    <mergeCell ref="B18:C18"/>
    <mergeCell ref="E18:F18"/>
  </mergeCells>
  <printOptions/>
  <pageMargins left="0.39" right="0.23" top="0.49" bottom="0.38" header="0.4921259845" footer="0.2"/>
  <pageSetup horizontalDpi="300" verticalDpi="300" orientation="portrait" paperSize="9" r:id="rId3"/>
  <rowBreaks count="1" manualBreakCount="1">
    <brk id="6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H76"/>
  <sheetViews>
    <sheetView showGridLines="0" showRowColHeaders="0" showZeros="0" showOutlineSymbols="0" zoomScale="90" zoomScaleNormal="90" zoomScalePageLayoutView="0" workbookViewId="0" topLeftCell="A1">
      <selection activeCell="B68" sqref="B68"/>
    </sheetView>
  </sheetViews>
  <sheetFormatPr defaultColWidth="11.421875" defaultRowHeight="12.75"/>
  <cols>
    <col min="1" max="1" width="2.00390625" style="0" customWidth="1"/>
    <col min="2" max="2" width="2.140625" style="0" customWidth="1"/>
    <col min="3" max="3" width="1.7109375" style="0" customWidth="1"/>
    <col min="4" max="4" width="65.7109375" style="0" customWidth="1"/>
    <col min="5" max="5" width="17.8515625" style="0" customWidth="1"/>
    <col min="6" max="6" width="16.7109375" style="0" customWidth="1"/>
    <col min="7" max="7" width="15.00390625" style="38" bestFit="1" customWidth="1"/>
  </cols>
  <sheetData>
    <row r="1" spans="2:5" ht="12.75">
      <c r="B1" s="464" t="str">
        <f>Rechnung!B1</f>
        <v>Tagesschule Muster</v>
      </c>
      <c r="C1" s="464"/>
      <c r="D1" s="464"/>
      <c r="E1" s="52"/>
    </row>
    <row r="2" spans="2:5" ht="12.75">
      <c r="B2" s="464" t="str">
        <f>Rechnung!B2</f>
        <v>Finkenrain 12</v>
      </c>
      <c r="C2" s="464"/>
      <c r="D2" s="464"/>
      <c r="E2" s="52"/>
    </row>
    <row r="3" spans="2:7" s="14" customFormat="1" ht="12.75">
      <c r="B3" s="14" t="str">
        <f>Rechnung!B3</f>
        <v>3013 Bern</v>
      </c>
      <c r="G3" s="41"/>
    </row>
    <row r="4" s="14" customFormat="1" ht="12.75">
      <c r="G4" s="41"/>
    </row>
    <row r="5" spans="2:7" s="14" customFormat="1" ht="12.75">
      <c r="B5" s="15" t="str">
        <f>Rechnung!B5</f>
        <v>Kontakt:</v>
      </c>
      <c r="G5" s="41"/>
    </row>
    <row r="6" spans="2:7" s="14" customFormat="1" ht="12.75">
      <c r="B6" s="15" t="str">
        <f>Rechnung!B6</f>
        <v>Elisabeth Adam</v>
      </c>
      <c r="G6" s="41"/>
    </row>
    <row r="7" spans="2:7" s="14" customFormat="1" ht="12.75">
      <c r="B7" s="15" t="str">
        <f>Rechnung!B7</f>
        <v>Finkenrain 12</v>
      </c>
      <c r="G7" s="41"/>
    </row>
    <row r="8" spans="2:7" s="14" customFormat="1" ht="12.75">
      <c r="B8" s="15" t="str">
        <f>Rechnung!B8</f>
        <v>3013 Bern</v>
      </c>
      <c r="G8" s="41"/>
    </row>
    <row r="9" spans="2:7" s="14" customFormat="1" ht="12.75">
      <c r="B9" s="15" t="str">
        <f>Rechnung!B9</f>
        <v>031 000 00 00</v>
      </c>
      <c r="G9" s="41"/>
    </row>
    <row r="10" spans="2:7" s="14" customFormat="1" ht="12.75">
      <c r="B10" s="15" t="str">
        <f>Rechnung!B10</f>
        <v>xx@xx</v>
      </c>
      <c r="G10" s="41"/>
    </row>
    <row r="11" s="14" customFormat="1" ht="12.75">
      <c r="G11" s="41"/>
    </row>
    <row r="12" s="14" customFormat="1" ht="12.75">
      <c r="G12" s="41"/>
    </row>
    <row r="13" s="14" customFormat="1" ht="12.75">
      <c r="G13" s="41"/>
    </row>
    <row r="14" spans="2:8" ht="18">
      <c r="B14" s="50" t="str">
        <f>"Berechnung Massgebendes Einkommen + Gebühren"</f>
        <v>Berechnung Massgebendes Einkommen + Gebühren</v>
      </c>
      <c r="C14" s="50"/>
      <c r="D14" s="16"/>
      <c r="E14" s="16"/>
      <c r="F14" s="229">
        <f ca="1">TODAY()</f>
        <v>44923</v>
      </c>
      <c r="G14" s="45"/>
      <c r="H14" s="43"/>
    </row>
    <row r="15" spans="7:8" ht="12">
      <c r="G15" s="46"/>
      <c r="H15" s="24"/>
    </row>
    <row r="16" spans="7:8" ht="12">
      <c r="G16" s="46"/>
      <c r="H16" s="24"/>
    </row>
    <row r="17" spans="2:8" ht="13.5">
      <c r="B17" s="210" t="str">
        <f>IF(Datenerfassung!E4="","",Datenerfassung!E4&amp;" "&amp;Datenerfassung!F4)</f>
        <v>Fränzi Muster </v>
      </c>
      <c r="C17" s="210"/>
      <c r="D17" s="210"/>
      <c r="E17" s="210"/>
      <c r="F17" s="210"/>
      <c r="G17" s="46"/>
      <c r="H17" s="24"/>
    </row>
    <row r="18" spans="2:8" ht="20.25" customHeight="1">
      <c r="B18" s="106" t="str">
        <f>Datenerfassung!D26</f>
        <v>Nettolohn</v>
      </c>
      <c r="C18" s="106"/>
      <c r="D18" s="106"/>
      <c r="E18" s="106"/>
      <c r="F18" s="107">
        <f>IF(Datenerfassung!H26="","",Datenerfassung!H26)</f>
        <v>50000</v>
      </c>
      <c r="G18" s="46"/>
      <c r="H18" s="24"/>
    </row>
    <row r="19" spans="2:8" ht="13.5" customHeight="1">
      <c r="B19" s="106" t="str">
        <f>Datenerfassung!D27</f>
        <v>weitere steuerbare Einkünfte</v>
      </c>
      <c r="C19" s="106"/>
      <c r="D19" s="106"/>
      <c r="E19" s="106"/>
      <c r="F19" s="107">
        <f>IF(Datenerfassung!H27="","",Datenerfassung!H27)</f>
        <v>500</v>
      </c>
      <c r="G19" s="46"/>
      <c r="H19" s="24"/>
    </row>
    <row r="20" spans="2:8" ht="12">
      <c r="B20" s="106" t="str">
        <f>Datenerfassung!D28</f>
        <v>Ersatzeinkommen</v>
      </c>
      <c r="C20" s="106"/>
      <c r="D20" s="106"/>
      <c r="E20" s="106"/>
      <c r="F20" s="107">
        <f>IF(Datenerfassung!H28="","",Datenerfassung!H28)</f>
        <v>600</v>
      </c>
      <c r="G20" s="46"/>
      <c r="H20" s="24"/>
    </row>
    <row r="21" spans="2:8" ht="12">
      <c r="B21" s="106" t="str">
        <f>Datenerfassung!D29</f>
        <v>erhaltene Unterhaltsbeiträge</v>
      </c>
      <c r="C21" s="106"/>
      <c r="D21" s="106"/>
      <c r="E21" s="106"/>
      <c r="F21" s="107">
        <f>IF(Datenerfassung!H29="","",Datenerfassung!H29)</f>
        <v>700</v>
      </c>
      <c r="G21" s="46"/>
      <c r="H21" s="24"/>
    </row>
    <row r="22" spans="2:8" ht="12">
      <c r="B22" s="106" t="str">
        <f>Datenerfassung!D30</f>
        <v>Geschäftsgewinn - Durchschnitt der letzten 3 Jahre</v>
      </c>
      <c r="C22" s="106"/>
      <c r="D22" s="106"/>
      <c r="E22" s="106"/>
      <c r="F22" s="107">
        <f>IF(Datenerfassung!H30="","",Datenerfassung!H30)</f>
        <v>800</v>
      </c>
      <c r="G22" s="46"/>
      <c r="H22" s="24"/>
    </row>
    <row r="23" spans="2:8" ht="12">
      <c r="B23" s="106" t="str">
        <f>Datenerfassung!D31</f>
        <v>Bruttoerträge aus beweglichem und unbeweglichem Vermögen</v>
      </c>
      <c r="C23" s="106"/>
      <c r="D23" s="106"/>
      <c r="E23" s="106"/>
      <c r="F23" s="107">
        <f>IF(Datenerfassung!H31="","",Datenerfassung!H31)</f>
        <v>900</v>
      </c>
      <c r="G23" s="46"/>
      <c r="H23" s="24"/>
    </row>
    <row r="24" spans="2:8" ht="12">
      <c r="B24" s="106" t="str">
        <f>Datenerfassung!D32</f>
        <v>Einkommen aus Erbengemeinschaften/Miteingentümerschaften</v>
      </c>
      <c r="C24" s="106"/>
      <c r="D24" s="106"/>
      <c r="E24" s="106"/>
      <c r="F24" s="107">
        <f>IF(Datenerfassung!H32="","",Datenerfassung!H32)</f>
        <v>1000</v>
      </c>
      <c r="G24" s="46"/>
      <c r="H24" s="24"/>
    </row>
    <row r="25" spans="2:8" ht="12">
      <c r="B25" s="106" t="str">
        <f>Datenerfassung!D33</f>
        <v>Abzug für geleistete Unterhaltsbeiträge</v>
      </c>
      <c r="C25" s="106"/>
      <c r="D25" s="106"/>
      <c r="E25" s="106"/>
      <c r="F25" s="107">
        <f>IF(Datenerfassung!H33="","",Datenerfassung!H33)</f>
        <v>1100</v>
      </c>
      <c r="G25" s="46"/>
      <c r="H25" s="24"/>
    </row>
    <row r="26" spans="2:8" ht="12">
      <c r="B26" s="106" t="str">
        <f>Datenerfassung!D34</f>
        <v>Schuldzinsen (Zinsen)</v>
      </c>
      <c r="C26" s="106"/>
      <c r="D26" s="106"/>
      <c r="E26" s="106"/>
      <c r="F26" s="107">
        <f>IF(Datenerfassung!H34="","",Datenerfassung!H34)</f>
        <v>1200</v>
      </c>
      <c r="G26" s="46"/>
      <c r="H26" s="24"/>
    </row>
    <row r="27" spans="2:8" ht="12">
      <c r="B27" s="106" t="str">
        <f>Datenerfassung!D35</f>
        <v>Gewinnungskosten</v>
      </c>
      <c r="C27" s="106"/>
      <c r="D27" s="106"/>
      <c r="E27" s="106"/>
      <c r="F27" s="107">
        <f>IF(Datenerfassung!H35="","",Datenerfassung!H35)</f>
        <v>1300</v>
      </c>
      <c r="G27" s="46"/>
      <c r="H27" s="24"/>
    </row>
    <row r="28" spans="2:8" ht="12">
      <c r="B28" s="15"/>
      <c r="C28" s="15"/>
      <c r="D28" s="15"/>
      <c r="E28" s="15"/>
      <c r="F28" s="40"/>
      <c r="G28" s="46"/>
      <c r="H28" s="24"/>
    </row>
    <row r="29" spans="2:8" ht="12.75">
      <c r="B29" s="55" t="s">
        <v>160</v>
      </c>
      <c r="C29" s="16"/>
      <c r="D29" s="108"/>
      <c r="E29" s="108"/>
      <c r="F29" s="59">
        <f>Datenerfassung!H43</f>
        <v>50900</v>
      </c>
      <c r="G29" s="46"/>
      <c r="H29" s="24"/>
    </row>
    <row r="30" spans="2:8" ht="12">
      <c r="B30" s="15"/>
      <c r="C30" s="15"/>
      <c r="D30" s="15"/>
      <c r="E30" s="15"/>
      <c r="F30" s="15"/>
      <c r="G30" s="46"/>
      <c r="H30" s="24"/>
    </row>
    <row r="31" spans="2:8" ht="13.5">
      <c r="B31" s="463" t="str">
        <f>IF(Datenerfassung!E5="","",Datenerfassung!E5&amp;" "&amp;Datenerfassung!F5)</f>
        <v>Hans Muster </v>
      </c>
      <c r="C31" s="463"/>
      <c r="D31" s="463"/>
      <c r="E31" s="463"/>
      <c r="F31" s="463"/>
      <c r="G31" s="46"/>
      <c r="H31" s="24"/>
    </row>
    <row r="32" spans="2:8" ht="17.25" customHeight="1">
      <c r="B32" s="106" t="str">
        <f>Datenerfassung!D26</f>
        <v>Nettolohn</v>
      </c>
      <c r="C32" s="106"/>
      <c r="D32" s="106"/>
      <c r="E32" s="106"/>
      <c r="F32" s="107">
        <f>IF(Datenerfassung!I26="","",Datenerfassung!I26)</f>
        <v>60000</v>
      </c>
      <c r="G32" s="46"/>
      <c r="H32" s="24"/>
    </row>
    <row r="33" spans="2:8" ht="12">
      <c r="B33" s="106" t="str">
        <f>Datenerfassung!D27</f>
        <v>weitere steuerbare Einkünfte</v>
      </c>
      <c r="C33" s="106"/>
      <c r="D33" s="106"/>
      <c r="E33" s="106"/>
      <c r="F33" s="107">
        <f>IF(Datenerfassung!I27="","",Datenerfassung!I27)</f>
        <v>50</v>
      </c>
      <c r="G33" s="46"/>
      <c r="H33" s="24"/>
    </row>
    <row r="34" spans="2:8" ht="12">
      <c r="B34" s="106" t="str">
        <f>Datenerfassung!D28</f>
        <v>Ersatzeinkommen</v>
      </c>
      <c r="C34" s="106"/>
      <c r="D34" s="106"/>
      <c r="E34" s="106"/>
      <c r="F34" s="107">
        <f>IF(Datenerfassung!I28="","",Datenerfassung!I28)</f>
        <v>60</v>
      </c>
      <c r="G34" s="46"/>
      <c r="H34" s="24"/>
    </row>
    <row r="35" spans="2:8" ht="12">
      <c r="B35" s="106" t="str">
        <f>Datenerfassung!D29</f>
        <v>erhaltene Unterhaltsbeiträge</v>
      </c>
      <c r="C35" s="106"/>
      <c r="D35" s="106"/>
      <c r="E35" s="106"/>
      <c r="F35" s="107">
        <f>IF(Datenerfassung!I29="","",Datenerfassung!I29)</f>
        <v>70</v>
      </c>
      <c r="G35" s="46"/>
      <c r="H35" s="24"/>
    </row>
    <row r="36" spans="2:8" ht="15" customHeight="1">
      <c r="B36" s="106" t="str">
        <f>Datenerfassung!D30</f>
        <v>Geschäftsgewinn - Durchschnitt der letzten 3 Jahre</v>
      </c>
      <c r="C36" s="106"/>
      <c r="D36" s="106"/>
      <c r="E36" s="106"/>
      <c r="F36" s="107">
        <f>IF(Datenerfassung!I30="","",Datenerfassung!I30)</f>
        <v>80</v>
      </c>
      <c r="G36" s="46"/>
      <c r="H36" s="24"/>
    </row>
    <row r="37" spans="2:8" ht="15" customHeight="1">
      <c r="B37" s="106" t="str">
        <f>Datenerfassung!D31</f>
        <v>Bruttoerträge aus beweglichem und unbeweglichem Vermögen</v>
      </c>
      <c r="C37" s="106"/>
      <c r="D37" s="106"/>
      <c r="E37" s="106"/>
      <c r="F37" s="107">
        <f>IF(Datenerfassung!I31="","",Datenerfassung!I31)</f>
        <v>90</v>
      </c>
      <c r="G37" s="46"/>
      <c r="H37" s="24"/>
    </row>
    <row r="38" spans="2:8" ht="15" customHeight="1">
      <c r="B38" s="106" t="str">
        <f>Datenerfassung!D32</f>
        <v>Einkommen aus Erbengemeinschaften/Miteingentümerschaften</v>
      </c>
      <c r="C38" s="106"/>
      <c r="D38" s="106"/>
      <c r="E38" s="106"/>
      <c r="F38" s="107">
        <f>IF(Datenerfassung!I32="","",Datenerfassung!I32)</f>
        <v>100</v>
      </c>
      <c r="G38" s="46"/>
      <c r="H38" s="24"/>
    </row>
    <row r="39" spans="2:8" ht="15" customHeight="1">
      <c r="B39" s="106" t="str">
        <f>Datenerfassung!D33</f>
        <v>Abzug für geleistete Unterhaltsbeiträge</v>
      </c>
      <c r="C39" s="106"/>
      <c r="D39" s="106"/>
      <c r="E39" s="106"/>
      <c r="F39" s="107">
        <f>IF(Datenerfassung!I33="","",Datenerfassung!I33)</f>
        <v>110</v>
      </c>
      <c r="G39" s="46"/>
      <c r="H39" s="24"/>
    </row>
    <row r="40" spans="2:8" ht="15" customHeight="1">
      <c r="B40" s="106" t="str">
        <f>Datenerfassung!D34</f>
        <v>Schuldzinsen (Zinsen)</v>
      </c>
      <c r="C40" s="106"/>
      <c r="D40" s="106"/>
      <c r="E40" s="106"/>
      <c r="F40" s="107">
        <f>IF(Datenerfassung!I34="","",Datenerfassung!I34)</f>
        <v>120</v>
      </c>
      <c r="G40" s="46"/>
      <c r="H40" s="24"/>
    </row>
    <row r="41" spans="2:8" ht="12">
      <c r="B41" s="106" t="str">
        <f>Datenerfassung!D35</f>
        <v>Gewinnungskosten</v>
      </c>
      <c r="C41" s="106"/>
      <c r="D41" s="106"/>
      <c r="E41" s="106"/>
      <c r="F41" s="107">
        <f>IF(Datenerfassung!I35="","",Datenerfassung!I35)</f>
        <v>130</v>
      </c>
      <c r="G41" s="46"/>
      <c r="H41" s="24"/>
    </row>
    <row r="42" spans="2:8" ht="12">
      <c r="B42" s="15"/>
      <c r="C42" s="15"/>
      <c r="D42" s="15"/>
      <c r="E42" s="15"/>
      <c r="F42" s="40"/>
      <c r="G42" s="46"/>
      <c r="H42" s="24"/>
    </row>
    <row r="43" spans="2:8" ht="12.75">
      <c r="B43" s="55" t="s">
        <v>161</v>
      </c>
      <c r="C43" s="16"/>
      <c r="D43" s="108"/>
      <c r="E43" s="108"/>
      <c r="F43" s="59">
        <f>Datenerfassung!I43</f>
        <v>60090</v>
      </c>
      <c r="G43" s="46"/>
      <c r="H43" s="24"/>
    </row>
    <row r="44" spans="2:8" ht="9.75" customHeight="1">
      <c r="B44" s="63"/>
      <c r="C44" s="23"/>
      <c r="D44" s="63"/>
      <c r="E44" s="63"/>
      <c r="F44" s="109"/>
      <c r="G44" s="46"/>
      <c r="H44" s="24"/>
    </row>
    <row r="45" spans="2:8" ht="12.75">
      <c r="B45" s="23" t="s">
        <v>59</v>
      </c>
      <c r="D45" s="63"/>
      <c r="E45" s="63"/>
      <c r="F45" s="109">
        <f>Datenerfassung!H48+Datenerfassung!I48</f>
        <v>2500</v>
      </c>
      <c r="G45" s="46"/>
      <c r="H45" s="24"/>
    </row>
    <row r="46" spans="2:8" ht="8.25" customHeight="1">
      <c r="B46" s="23"/>
      <c r="D46" s="63"/>
      <c r="E46" s="63"/>
      <c r="F46" s="109"/>
      <c r="G46" s="46"/>
      <c r="H46" s="24"/>
    </row>
    <row r="47" spans="2:8" ht="12" customHeight="1">
      <c r="B47" s="23"/>
      <c r="D47" s="63"/>
      <c r="E47" s="63"/>
      <c r="F47" s="109"/>
      <c r="G47" s="46"/>
      <c r="H47" s="24"/>
    </row>
    <row r="48" spans="2:8" ht="12.75">
      <c r="B48" s="55" t="str">
        <f>Datenerfassung!D63</f>
        <v>Zwischentotal (Einkünfte und Vermögen)</v>
      </c>
      <c r="C48" s="16"/>
      <c r="D48" s="108"/>
      <c r="E48" s="108"/>
      <c r="F48" s="59">
        <f>Datenerfassung!J63</f>
        <v>113490</v>
      </c>
      <c r="G48" s="46"/>
      <c r="H48" s="24"/>
    </row>
    <row r="49" spans="2:8" ht="12.75">
      <c r="B49" s="23"/>
      <c r="D49" s="63"/>
      <c r="E49" s="63"/>
      <c r="F49" s="64"/>
      <c r="G49" s="46"/>
      <c r="H49" s="24"/>
    </row>
    <row r="50" spans="2:8" ht="12.75">
      <c r="B50" s="23" t="str">
        <f>Datenerfassung!D64</f>
        <v>Abzüge für Familiengrösse</v>
      </c>
      <c r="D50" s="23"/>
      <c r="E50" s="63"/>
      <c r="F50" s="64">
        <f>Datenerfassung!J64</f>
        <v>24000</v>
      </c>
      <c r="G50" s="46"/>
      <c r="H50" s="24"/>
    </row>
    <row r="51" spans="2:8" ht="12.75">
      <c r="B51" s="23"/>
      <c r="D51" s="63"/>
      <c r="E51" s="63"/>
      <c r="F51" s="109"/>
      <c r="G51" s="46"/>
      <c r="H51" s="24"/>
    </row>
    <row r="52" spans="2:8" ht="12.75">
      <c r="B52" s="55" t="str">
        <f>Datenerfassung!D65</f>
        <v>Massgebendes Einkommen</v>
      </c>
      <c r="C52" s="16"/>
      <c r="D52" s="119"/>
      <c r="E52" s="119"/>
      <c r="F52" s="59">
        <f>Datenerfassung!J65</f>
        <v>89490</v>
      </c>
      <c r="G52" s="46"/>
      <c r="H52" s="24"/>
    </row>
    <row r="53" spans="2:8" ht="15" hidden="1">
      <c r="B53" s="16"/>
      <c r="C53" s="22" t="s">
        <v>52</v>
      </c>
      <c r="D53" s="16"/>
      <c r="E53" s="16"/>
      <c r="F53" s="26">
        <f>Datenerfassung!J66</f>
        <v>0</v>
      </c>
      <c r="G53" s="46"/>
      <c r="H53" s="24"/>
    </row>
    <row r="54" spans="7:8" ht="9.75" customHeight="1">
      <c r="G54" s="46"/>
      <c r="H54" s="24"/>
    </row>
    <row r="55" spans="2:8" ht="12">
      <c r="B55" s="15" t="str">
        <f>Datenerfassung!D69</f>
        <v>Gebühr pro Stunde</v>
      </c>
      <c r="C55" s="15"/>
      <c r="D55" s="15"/>
      <c r="E55" s="15"/>
      <c r="F55" s="39">
        <f>Datenerfassung!J69</f>
        <v>5.47</v>
      </c>
      <c r="G55" s="46"/>
      <c r="H55" s="24"/>
    </row>
    <row r="56" spans="7:8" ht="12" hidden="1">
      <c r="G56" s="46"/>
      <c r="H56" s="24"/>
    </row>
    <row r="57" spans="6:8" ht="12" hidden="1">
      <c r="F57" s="25">
        <f>IF(F29="",0,F29)</f>
        <v>50900</v>
      </c>
      <c r="G57" s="46"/>
      <c r="H57" s="24"/>
    </row>
    <row r="58" spans="6:8" ht="12" hidden="1">
      <c r="F58" s="25">
        <f>IF(F43="",0,F43)</f>
        <v>60090</v>
      </c>
      <c r="G58" s="46"/>
      <c r="H58" s="24"/>
    </row>
    <row r="59" spans="7:8" ht="16.5" customHeight="1" hidden="1">
      <c r="G59" s="46"/>
      <c r="H59" s="24"/>
    </row>
    <row r="60" spans="2:8" ht="18" customHeight="1">
      <c r="B60" s="57" t="str">
        <f>"Anzahl Betreuungsstunden in "&amp;Datenerfassung!H22&amp;" Wochen"</f>
        <v>Anzahl Betreuungsstunden in 1 Wochen</v>
      </c>
      <c r="E60" s="58">
        <f>Datenerfassung!I18</f>
        <v>1</v>
      </c>
      <c r="F60" s="56"/>
      <c r="H60" s="24"/>
    </row>
    <row r="61" spans="6:8" ht="8.25" customHeight="1">
      <c r="F61" s="44"/>
      <c r="G61" s="46"/>
      <c r="H61" s="24"/>
    </row>
    <row r="62" spans="2:8" ht="12">
      <c r="B62" s="15" t="str">
        <f>"Betreuungsgebühr für "&amp;Datenerfassung!H22&amp;" Wochen "</f>
        <v>Betreuungsgebühr für 1 Wochen </v>
      </c>
      <c r="F62" s="47">
        <f>Datenerfassung!J73</f>
        <v>5.45</v>
      </c>
      <c r="G62" s="46"/>
      <c r="H62" s="24"/>
    </row>
    <row r="63" spans="2:8" ht="12">
      <c r="B63" s="18" t="str">
        <f>"Kosten Mahlzeiten für "&amp;Datenerfassung!H22&amp;" Wochen"</f>
        <v>Kosten Mahlzeiten für 1 Wochen</v>
      </c>
      <c r="F63" s="48">
        <f>Datenerfassung!J74</f>
        <v>10.5</v>
      </c>
      <c r="G63" s="46"/>
      <c r="H63" s="24"/>
    </row>
    <row r="64" spans="2:8" ht="15" customHeight="1" thickBot="1">
      <c r="B64" s="14" t="str">
        <f>"Total Gebühren für "&amp;Datenerfassung!H22&amp;" Wochen"</f>
        <v>Total Gebühren für 1 Wochen</v>
      </c>
      <c r="F64" s="49">
        <f>Datenerfassung!J75</f>
        <v>15.95</v>
      </c>
      <c r="G64" s="46"/>
      <c r="H64" s="24"/>
    </row>
    <row r="65" spans="2:8" ht="15" customHeight="1" thickTop="1">
      <c r="B65" s="14"/>
      <c r="F65" s="126"/>
      <c r="G65" s="46"/>
      <c r="H65" s="24"/>
    </row>
    <row r="66" spans="2:8" ht="15" customHeight="1">
      <c r="B66" s="55" t="str">
        <f>Datenerfassung!D75</f>
        <v>Betreuungs- und Mahlzeitengebühren für Abrechnungsperiode </v>
      </c>
      <c r="C66" s="16"/>
      <c r="D66" s="16"/>
      <c r="E66" s="16"/>
      <c r="F66" s="127">
        <f>Datenerfassung!J75</f>
        <v>15.95</v>
      </c>
      <c r="G66" s="46"/>
      <c r="H66" s="24"/>
    </row>
    <row r="67" spans="7:8" ht="12">
      <c r="G67" s="46"/>
      <c r="H67" s="24"/>
    </row>
    <row r="68" spans="1:8" ht="12">
      <c r="A68" s="24"/>
      <c r="B68" s="63" t="str">
        <f>Datenerfassung!D70</f>
        <v>Maximaltarif</v>
      </c>
      <c r="C68" s="24"/>
      <c r="D68" s="24"/>
      <c r="E68" s="24"/>
      <c r="F68" s="39">
        <f>Eckwerte!D7</f>
        <v>12.55</v>
      </c>
      <c r="G68" s="46"/>
      <c r="H68" s="24"/>
    </row>
    <row r="69" spans="1:8" ht="12">
      <c r="A69" s="24"/>
      <c r="B69" s="24"/>
      <c r="C69" s="24"/>
      <c r="D69" s="24"/>
      <c r="E69" s="24"/>
      <c r="F69" s="24"/>
      <c r="G69" s="46"/>
      <c r="H69" s="24"/>
    </row>
    <row r="70" spans="2:8" ht="12">
      <c r="B70" s="15" t="str">
        <f>Datenerfassung!D71</f>
        <v>Subvention Kanton und Gemeinde pro Betreuungsstunde</v>
      </c>
      <c r="F70" s="38">
        <f>F68-F55</f>
        <v>7.080000000000001</v>
      </c>
      <c r="G70" s="46"/>
      <c r="H70" s="24"/>
    </row>
    <row r="71" spans="2:8" ht="12">
      <c r="B71" s="15"/>
      <c r="G71" s="46"/>
      <c r="H71" s="24"/>
    </row>
    <row r="72" spans="2:6" ht="12">
      <c r="B72" s="15"/>
      <c r="F72" s="38"/>
    </row>
    <row r="73" ht="12">
      <c r="B73" s="15">
        <f>Datenerfassung!D78</f>
        <v>0</v>
      </c>
    </row>
    <row r="74" ht="12">
      <c r="B74" s="15">
        <f>Datenerfassung!D79</f>
        <v>0</v>
      </c>
    </row>
    <row r="75" ht="12">
      <c r="B75" s="15">
        <f>Datenerfassung!D80</f>
        <v>0</v>
      </c>
    </row>
    <row r="76" ht="12">
      <c r="B76" s="15">
        <f>Datenerfassung!D81</f>
        <v>0</v>
      </c>
    </row>
  </sheetData>
  <sheetProtection password="CCBC" sheet="1" selectLockedCells="1" selectUnlockedCells="1"/>
  <mergeCells count="3">
    <mergeCell ref="B31:F31"/>
    <mergeCell ref="B1:D1"/>
    <mergeCell ref="B2:D2"/>
  </mergeCells>
  <printOptions/>
  <pageMargins left="0.2" right="0.2" top="0.22" bottom="0.2" header="0.2" footer="0.2"/>
  <pageSetup fitToHeight="1" fitToWidth="1" horizontalDpi="300" verticalDpi="300" orientation="portrait" paperSize="9" scale="8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Tool für Gemeinden zur Berechnung der Elterngebühren: pädaogisches Angebot</dc:title>
  <dc:subject>Tagesschulen</dc:subject>
  <dc:creator>AKVB</dc:creator>
  <cp:keywords/>
  <dc:description/>
  <cp:lastModifiedBy>Cuvit Camille, BKD-AKVB-RSD-FB-SEA</cp:lastModifiedBy>
  <cp:lastPrinted>2022-03-31T08:18:16Z</cp:lastPrinted>
  <dcterms:created xsi:type="dcterms:W3CDTF">2005-11-28T19:04:16Z</dcterms:created>
  <dcterms:modified xsi:type="dcterms:W3CDTF">2022-12-28T10:37:20Z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